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vbaProject.bin" ContentType="application/vnd.ms-office.vbaProject"/>
  <Default Extension="xml" ContentType="application/xml"/>
  <Override PartName="/xl/workbook.xml" ContentType="application/vnd.ms-excel.sheet.macroEnabled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4310" yWindow="540" windowWidth="10920" windowHeight="12975"/>
  </bookViews>
  <sheets>
    <sheet name="Collateral Tables" sheetId="83" r:id="rId1"/>
    <sheet name="Note Balances" sheetId="80" r:id="rId2"/>
    <sheet name="Cumulative Defaults" sheetId="82" r:id="rId3"/>
  </sheets>
  <functionGroups builtInGroupCount="17"/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BS_pg1" localSheetId="2">#REF!</definedName>
    <definedName name="ABS_pg1">#REF!</definedName>
    <definedName name="ABS_pg2" localSheetId="2">#REF!</definedName>
    <definedName name="ABS_pg2">#REF!</definedName>
    <definedName name="Chargeoffs" localSheetId="2">#REF!</definedName>
    <definedName name="Chargeoffs">#REF!</definedName>
    <definedName name="Input_Key" localSheetId="2">#REF!</definedName>
    <definedName name="Input_Key">#REF!</definedName>
    <definedName name="Input_Key_pg2" localSheetId="2">#REF!</definedName>
    <definedName name="Input_Key_pg2">#REF!</definedName>
    <definedName name="Payment_Directions_pg1" localSheetId="2">#REF!</definedName>
    <definedName name="Payment_Directions_pg1">#REF!</definedName>
    <definedName name="Payment_Directions_pg2" localSheetId="2">#REF!</definedName>
    <definedName name="Payment_Directions_pg2">#REF!</definedName>
    <definedName name="_xlnm.Print_Area" localSheetId="0">'Collateral Tables'!$B$1:$K$265</definedName>
    <definedName name="_xlnm.Print_Titles" localSheetId="0">'Collateral Tables'!$1:$4</definedName>
    <definedName name="QMR_pg1" localSheetId="2">#REF!</definedName>
    <definedName name="QMR_pg1">#REF!</definedName>
    <definedName name="QMR_pg2" localSheetId="2">#REF!</definedName>
    <definedName name="QMR_pg2">#REF!</definedName>
    <definedName name="QMR_pg3" localSheetId="2">#REF!</definedName>
    <definedName name="QMR_pg3">#REF!</definedName>
    <definedName name="QMR_pg4" localSheetId="2">#REF!</definedName>
    <definedName name="QMR_pg4">#REF!</definedName>
  </definedNames>
  <calcPr calcId="145621"/>
</workbook>
</file>

<file path=xl/calcChain.xml><?xml version="1.0" encoding="utf-8"?>
<calcChain xmlns="http://schemas.openxmlformats.org/spreadsheetml/2006/main">
  <c r="C4" i="82" l="1"/>
  <c r="B4" i="82"/>
  <c r="D5" i="82"/>
  <c r="C5" i="82"/>
  <c r="B5" i="82"/>
  <c r="F247" i="83" l="1"/>
  <c r="F244" i="83"/>
  <c r="F243" i="83"/>
  <c r="F242" i="83"/>
  <c r="F241" i="83"/>
  <c r="F240" i="83"/>
  <c r="F239" i="83"/>
  <c r="F238" i="83"/>
  <c r="F237" i="83"/>
  <c r="F236" i="83"/>
  <c r="F235" i="83"/>
  <c r="F245" i="83" s="1"/>
  <c r="E243" i="83" s="1"/>
  <c r="F234" i="83"/>
  <c r="F233" i="83"/>
  <c r="E233" i="83" s="1"/>
  <c r="F232" i="83"/>
  <c r="F231" i="83"/>
  <c r="F227" i="83"/>
  <c r="F226" i="83"/>
  <c r="F225" i="83"/>
  <c r="F224" i="83"/>
  <c r="F223" i="83"/>
  <c r="F222" i="83"/>
  <c r="F228" i="83" s="1"/>
  <c r="E227" i="83" s="1"/>
  <c r="F218" i="83"/>
  <c r="F213" i="83"/>
  <c r="E213" i="83"/>
  <c r="F212" i="83"/>
  <c r="E212" i="83" s="1"/>
  <c r="F211" i="83"/>
  <c r="F214" i="83" s="1"/>
  <c r="E211" i="83"/>
  <c r="E214" i="83" s="1"/>
  <c r="F206" i="83"/>
  <c r="E206" i="83"/>
  <c r="F205" i="83"/>
  <c r="F208" i="83" s="1"/>
  <c r="F201" i="83"/>
  <c r="F200" i="83"/>
  <c r="F199" i="83"/>
  <c r="E199" i="83" s="1"/>
  <c r="F198" i="83"/>
  <c r="F197" i="83"/>
  <c r="F196" i="83"/>
  <c r="F195" i="83"/>
  <c r="F194" i="83"/>
  <c r="E194" i="83"/>
  <c r="F193" i="83"/>
  <c r="F192" i="83"/>
  <c r="F202" i="83" s="1"/>
  <c r="E196" i="83" s="1"/>
  <c r="F188" i="83"/>
  <c r="F187" i="83"/>
  <c r="F186" i="83"/>
  <c r="F185" i="83"/>
  <c r="F184" i="83"/>
  <c r="F183" i="83"/>
  <c r="F189" i="83" s="1"/>
  <c r="E188" i="83" s="1"/>
  <c r="F179" i="83"/>
  <c r="F178" i="83"/>
  <c r="F177" i="83"/>
  <c r="F176" i="83"/>
  <c r="F175" i="83"/>
  <c r="F174" i="83"/>
  <c r="F173" i="83"/>
  <c r="F172" i="83"/>
  <c r="F171" i="83"/>
  <c r="F170" i="83"/>
  <c r="F180" i="83" s="1"/>
  <c r="F169" i="83"/>
  <c r="A164" i="83"/>
  <c r="F164" i="83" s="1"/>
  <c r="F163" i="83"/>
  <c r="A163" i="83"/>
  <c r="A162" i="83"/>
  <c r="F162" i="83" s="1"/>
  <c r="A161" i="83"/>
  <c r="F161" i="83" s="1"/>
  <c r="F160" i="83"/>
  <c r="A160" i="83"/>
  <c r="F159" i="83"/>
  <c r="A159" i="83"/>
  <c r="A158" i="83"/>
  <c r="F158" i="83" s="1"/>
  <c r="A157" i="83"/>
  <c r="F157" i="83" s="1"/>
  <c r="A156" i="83"/>
  <c r="F156" i="83" s="1"/>
  <c r="F155" i="83"/>
  <c r="A155" i="83"/>
  <c r="F154" i="83"/>
  <c r="A154" i="83"/>
  <c r="A153" i="83"/>
  <c r="F153" i="83" s="1"/>
  <c r="F152" i="83"/>
  <c r="A152" i="83"/>
  <c r="F151" i="83"/>
  <c r="A151" i="83"/>
  <c r="A150" i="83"/>
  <c r="F150" i="83" s="1"/>
  <c r="A149" i="83"/>
  <c r="F149" i="83" s="1"/>
  <c r="A148" i="83"/>
  <c r="F148" i="83" s="1"/>
  <c r="F147" i="83"/>
  <c r="A147" i="83"/>
  <c r="F146" i="83"/>
  <c r="A146" i="83"/>
  <c r="A145" i="83"/>
  <c r="F145" i="83" s="1"/>
  <c r="F144" i="83"/>
  <c r="A144" i="83"/>
  <c r="F143" i="83"/>
  <c r="A143" i="83"/>
  <c r="A142" i="83"/>
  <c r="F142" i="83" s="1"/>
  <c r="A141" i="83"/>
  <c r="F141" i="83" s="1"/>
  <c r="A140" i="83"/>
  <c r="F140" i="83" s="1"/>
  <c r="F139" i="83"/>
  <c r="A139" i="83"/>
  <c r="F138" i="83"/>
  <c r="A138" i="83"/>
  <c r="A137" i="83"/>
  <c r="F137" i="83" s="1"/>
  <c r="F133" i="83"/>
  <c r="E133" i="83" s="1"/>
  <c r="F132" i="83"/>
  <c r="F131" i="83"/>
  <c r="E131" i="83" s="1"/>
  <c r="F130" i="83"/>
  <c r="F129" i="83"/>
  <c r="E129" i="83" s="1"/>
  <c r="F128" i="83"/>
  <c r="F127" i="83"/>
  <c r="F126" i="83"/>
  <c r="F125" i="83"/>
  <c r="E125" i="83" s="1"/>
  <c r="F124" i="83"/>
  <c r="F134" i="83" s="1"/>
  <c r="E127" i="83" s="1"/>
  <c r="F120" i="83"/>
  <c r="F119" i="83"/>
  <c r="F118" i="83"/>
  <c r="F117" i="83"/>
  <c r="F116" i="83"/>
  <c r="F115" i="83"/>
  <c r="F114" i="83"/>
  <c r="F113" i="83"/>
  <c r="F112" i="83"/>
  <c r="F111" i="83"/>
  <c r="F110" i="83"/>
  <c r="F106" i="83"/>
  <c r="F105" i="83"/>
  <c r="F104" i="83"/>
  <c r="F103" i="83"/>
  <c r="F102" i="83"/>
  <c r="F101" i="83"/>
  <c r="F100" i="83"/>
  <c r="F99" i="83"/>
  <c r="F98" i="83"/>
  <c r="F97" i="83"/>
  <c r="F96" i="83"/>
  <c r="F95" i="83"/>
  <c r="F94" i="83"/>
  <c r="F93" i="83"/>
  <c r="F92" i="83"/>
  <c r="F91" i="83"/>
  <c r="F90" i="83"/>
  <c r="F89" i="83"/>
  <c r="F88" i="83"/>
  <c r="F87" i="83"/>
  <c r="F86" i="83"/>
  <c r="F85" i="83"/>
  <c r="F84" i="83"/>
  <c r="F83" i="83"/>
  <c r="F82" i="83"/>
  <c r="F81" i="83"/>
  <c r="F80" i="83"/>
  <c r="F79" i="83"/>
  <c r="F78" i="83"/>
  <c r="F77" i="83"/>
  <c r="F76" i="83"/>
  <c r="F75" i="83"/>
  <c r="F74" i="83"/>
  <c r="F73" i="83"/>
  <c r="F72" i="83"/>
  <c r="F69" i="83"/>
  <c r="F68" i="83"/>
  <c r="F67" i="83"/>
  <c r="E67" i="83"/>
  <c r="F66" i="83"/>
  <c r="F62" i="83"/>
  <c r="F61" i="83"/>
  <c r="F60" i="83"/>
  <c r="F59" i="83"/>
  <c r="F58" i="83"/>
  <c r="F57" i="83"/>
  <c r="F56" i="83"/>
  <c r="F55" i="83"/>
  <c r="F63" i="83" s="1"/>
  <c r="F49" i="83"/>
  <c r="E49" i="83"/>
  <c r="F48" i="83"/>
  <c r="E48" i="83"/>
  <c r="F47" i="83"/>
  <c r="E47" i="83"/>
  <c r="F46" i="83"/>
  <c r="E46" i="83"/>
  <c r="F45" i="83"/>
  <c r="E45" i="83"/>
  <c r="F44" i="83"/>
  <c r="F50" i="83" s="1"/>
  <c r="E44" i="83"/>
  <c r="E50" i="83" s="1"/>
  <c r="F39" i="83"/>
  <c r="E39" i="83"/>
  <c r="F38" i="83"/>
  <c r="G38" i="83" s="1"/>
  <c r="E38" i="83"/>
  <c r="F37" i="83"/>
  <c r="E37" i="83"/>
  <c r="F36" i="83"/>
  <c r="E36" i="83"/>
  <c r="F35" i="83"/>
  <c r="E35" i="83"/>
  <c r="F34" i="83"/>
  <c r="F40" i="83" s="1"/>
  <c r="E34" i="83"/>
  <c r="E40" i="83" s="1"/>
  <c r="E31" i="83"/>
  <c r="E29" i="83"/>
  <c r="E28" i="83"/>
  <c r="E27" i="83"/>
  <c r="E26" i="83"/>
  <c r="E23" i="83"/>
  <c r="A23" i="83"/>
  <c r="E21" i="83"/>
  <c r="E20" i="83"/>
  <c r="E19" i="83"/>
  <c r="F217" i="83" s="1"/>
  <c r="F219" i="83" s="1"/>
  <c r="E18" i="83"/>
  <c r="E9" i="83"/>
  <c r="A9" i="83"/>
  <c r="E8" i="83"/>
  <c r="E7" i="83"/>
  <c r="E6" i="83"/>
  <c r="E13" i="83" s="1"/>
  <c r="E59" i="83" l="1"/>
  <c r="G48" i="83"/>
  <c r="G35" i="83"/>
  <c r="G36" i="83"/>
  <c r="G46" i="83"/>
  <c r="G39" i="83"/>
  <c r="G37" i="83"/>
  <c r="G47" i="83"/>
  <c r="E172" i="83"/>
  <c r="E174" i="83"/>
  <c r="E176" i="83"/>
  <c r="E178" i="83"/>
  <c r="E61" i="83"/>
  <c r="E57" i="83"/>
  <c r="E55" i="83"/>
  <c r="G44" i="83"/>
  <c r="E56" i="83"/>
  <c r="E66" i="83"/>
  <c r="E128" i="83"/>
  <c r="E173" i="83"/>
  <c r="E186" i="83"/>
  <c r="E225" i="83"/>
  <c r="E238" i="83"/>
  <c r="E241" i="83"/>
  <c r="F121" i="83"/>
  <c r="E111" i="83" s="1"/>
  <c r="E126" i="83"/>
  <c r="F166" i="83"/>
  <c r="E171" i="83"/>
  <c r="E179" i="83"/>
  <c r="E184" i="83"/>
  <c r="E192" i="83"/>
  <c r="E197" i="83"/>
  <c r="E200" i="83"/>
  <c r="E217" i="83"/>
  <c r="E223" i="83"/>
  <c r="E231" i="83"/>
  <c r="E236" i="83"/>
  <c r="E239" i="83"/>
  <c r="E244" i="83"/>
  <c r="G45" i="83"/>
  <c r="E60" i="83"/>
  <c r="E114" i="83"/>
  <c r="E124" i="83"/>
  <c r="E132" i="83"/>
  <c r="E169" i="83"/>
  <c r="E177" i="83"/>
  <c r="E187" i="83"/>
  <c r="E195" i="83"/>
  <c r="E198" i="83"/>
  <c r="E218" i="83"/>
  <c r="E226" i="83"/>
  <c r="E234" i="83"/>
  <c r="E237" i="83"/>
  <c r="E242" i="83"/>
  <c r="G49" i="83"/>
  <c r="E62" i="83"/>
  <c r="E30" i="83"/>
  <c r="G34" i="83"/>
  <c r="G40" i="83" s="1"/>
  <c r="E58" i="83"/>
  <c r="E68" i="83"/>
  <c r="F107" i="83"/>
  <c r="E79" i="83" s="1"/>
  <c r="E112" i="83"/>
  <c r="E120" i="83"/>
  <c r="E130" i="83"/>
  <c r="E170" i="83"/>
  <c r="E175" i="83"/>
  <c r="E185" i="83"/>
  <c r="E193" i="83"/>
  <c r="E201" i="83"/>
  <c r="E224" i="83"/>
  <c r="E232" i="83"/>
  <c r="E235" i="83"/>
  <c r="E240" i="83"/>
  <c r="E247" i="83"/>
  <c r="E183" i="83"/>
  <c r="E189" i="83" s="1"/>
  <c r="E205" i="83"/>
  <c r="E208" i="83" s="1"/>
  <c r="E222" i="83"/>
  <c r="E228" i="83" s="1"/>
  <c r="E86" i="83" l="1"/>
  <c r="E80" i="83"/>
  <c r="E202" i="83"/>
  <c r="E159" i="83"/>
  <c r="E151" i="83"/>
  <c r="E143" i="83"/>
  <c r="E157" i="83"/>
  <c r="E149" i="83"/>
  <c r="E141" i="83"/>
  <c r="E98" i="83"/>
  <c r="E100" i="83"/>
  <c r="E69" i="83"/>
  <c r="E158" i="83"/>
  <c r="E138" i="83"/>
  <c r="E148" i="83"/>
  <c r="E97" i="83"/>
  <c r="E81" i="83"/>
  <c r="E155" i="83"/>
  <c r="E139" i="83"/>
  <c r="G41" i="83"/>
  <c r="E99" i="83"/>
  <c r="E91" i="83"/>
  <c r="E83" i="83"/>
  <c r="E75" i="83"/>
  <c r="E103" i="83"/>
  <c r="E78" i="83"/>
  <c r="E180" i="83"/>
  <c r="E104" i="83"/>
  <c r="E72" i="83"/>
  <c r="E219" i="83"/>
  <c r="E160" i="83"/>
  <c r="E117" i="83"/>
  <c r="E113" i="83"/>
  <c r="E90" i="83"/>
  <c r="E92" i="83"/>
  <c r="E150" i="83"/>
  <c r="G52" i="83"/>
  <c r="E140" i="83"/>
  <c r="E93" i="83"/>
  <c r="E77" i="83"/>
  <c r="E153" i="83"/>
  <c r="E137" i="83"/>
  <c r="E166" i="83" s="1"/>
  <c r="E102" i="83"/>
  <c r="E96" i="83"/>
  <c r="E152" i="83"/>
  <c r="E116" i="83"/>
  <c r="E82" i="83"/>
  <c r="E118" i="83"/>
  <c r="E84" i="83"/>
  <c r="G50" i="83"/>
  <c r="E142" i="83"/>
  <c r="E154" i="83"/>
  <c r="E105" i="83"/>
  <c r="E89" i="83"/>
  <c r="E73" i="83"/>
  <c r="E147" i="83"/>
  <c r="E119" i="83"/>
  <c r="E95" i="83"/>
  <c r="E162" i="83"/>
  <c r="E94" i="83"/>
  <c r="E134" i="83"/>
  <c r="E88" i="83"/>
  <c r="G51" i="83"/>
  <c r="E245" i="83"/>
  <c r="E144" i="83"/>
  <c r="E106" i="83"/>
  <c r="E74" i="83"/>
  <c r="E110" i="83"/>
  <c r="E76" i="83"/>
  <c r="E163" i="83"/>
  <c r="E63" i="83"/>
  <c r="E146" i="83"/>
  <c r="E156" i="83"/>
  <c r="E101" i="83"/>
  <c r="E85" i="83"/>
  <c r="E161" i="83"/>
  <c r="E145" i="83"/>
  <c r="E115" i="83"/>
  <c r="E87" i="83"/>
  <c r="E164" i="83"/>
  <c r="E121" i="83" l="1"/>
  <c r="E107" i="83"/>
  <c r="D4" i="82" l="1"/>
</calcChain>
</file>

<file path=xl/sharedStrings.xml><?xml version="1.0" encoding="utf-8"?>
<sst xmlns="http://schemas.openxmlformats.org/spreadsheetml/2006/main" count="406" uniqueCount="304">
  <si>
    <t>Coupon Rate (3 month BBSW + margin)</t>
  </si>
  <si>
    <t>TOTAL NOTE BALANCES</t>
  </si>
  <si>
    <t>Principal Payments to Noteholders on Payment Date</t>
  </si>
  <si>
    <t>Days in Coupon Period</t>
  </si>
  <si>
    <t>Aggregate Charge-Offs for this Collection Period</t>
  </si>
  <si>
    <t>Charge-Offs</t>
  </si>
  <si>
    <t>Gross Aggregate Charge-Offs</t>
  </si>
  <si>
    <t>Gross Aggregate Reinstatements of charge-offs</t>
  </si>
  <si>
    <t>Aggregate Charge-Offs not reinstated and to be carried over to next period</t>
  </si>
  <si>
    <t>Reinstatements relating to Charge-offs that have occurred this Collection Period</t>
  </si>
  <si>
    <t>Reinstatements of Carry Over Charge-offs not previously reinstated</t>
  </si>
  <si>
    <t>Aggregate Carry Over Charge-offs not previously reinstated</t>
  </si>
  <si>
    <t>Coupon Margin</t>
  </si>
  <si>
    <t>Recoveries</t>
  </si>
  <si>
    <t>Total Notes</t>
  </si>
  <si>
    <t>(a)</t>
  </si>
  <si>
    <t>(b)</t>
  </si>
  <si>
    <t>(d)</t>
  </si>
  <si>
    <t>(e)</t>
  </si>
  <si>
    <t>(f)</t>
  </si>
  <si>
    <t>COLLATERAL DATA TABLES</t>
  </si>
  <si>
    <t>OUTSTANDING RECEIVABLES</t>
  </si>
  <si>
    <t>Opening Balance</t>
  </si>
  <si>
    <t>Principal Repayments - Scheduled</t>
  </si>
  <si>
    <t>Principal Repayments - Unscheduled</t>
  </si>
  <si>
    <t>Reinstatements</t>
  </si>
  <si>
    <t>New Receivables Purchased</t>
  </si>
  <si>
    <t>Non Cash Change in Receivables</t>
  </si>
  <si>
    <t>Closing Balance</t>
  </si>
  <si>
    <t>PORTFOLIO STATISTICS</t>
  </si>
  <si>
    <t>Summary</t>
  </si>
  <si>
    <t>Number of contracts</t>
  </si>
  <si>
    <t>Dollar value of contracts</t>
  </si>
  <si>
    <t>Number of contracts closed during the Quarter</t>
  </si>
  <si>
    <t>Dollar value of contracts closed during the Quarter</t>
  </si>
  <si>
    <t>Dollar Value of Recoveries from Collateral</t>
  </si>
  <si>
    <t>Dollar Value of Recoveries from Other Sources</t>
  </si>
  <si>
    <t>Average Term of Contracts (Months)</t>
  </si>
  <si>
    <t>Average Term to Maturity (Months)</t>
  </si>
  <si>
    <t>Average Seasoning (Months)</t>
  </si>
  <si>
    <t>Average Dollar Value of Individual Assets</t>
  </si>
  <si>
    <t>Weighted Average Interest Rate</t>
  </si>
  <si>
    <t>Payment in Arrears</t>
  </si>
  <si>
    <t>Total</t>
  </si>
  <si>
    <t>Account Balances in Arrears</t>
  </si>
  <si>
    <t>Geographic Distribution</t>
  </si>
  <si>
    <t>NSW</t>
  </si>
  <si>
    <t>New South Wales</t>
  </si>
  <si>
    <t>VIC</t>
  </si>
  <si>
    <t>Victoria</t>
  </si>
  <si>
    <t>QLD</t>
  </si>
  <si>
    <t>Queensland</t>
  </si>
  <si>
    <t>SA</t>
  </si>
  <si>
    <t>South Australia</t>
  </si>
  <si>
    <t>NT</t>
  </si>
  <si>
    <t>Northern Territory</t>
  </si>
  <si>
    <t>ACT</t>
  </si>
  <si>
    <t>Australian Capital Territory</t>
  </si>
  <si>
    <t>TAS</t>
  </si>
  <si>
    <t>Tasmania</t>
  </si>
  <si>
    <t>WA</t>
  </si>
  <si>
    <t>Western Australia</t>
  </si>
  <si>
    <t>Top Industry Distribution</t>
  </si>
  <si>
    <t>AG</t>
  </si>
  <si>
    <t>Agricultural</t>
  </si>
  <si>
    <t>CE</t>
  </si>
  <si>
    <t>Construction</t>
  </si>
  <si>
    <t>Collateral Types</t>
  </si>
  <si>
    <t>COMBINE</t>
  </si>
  <si>
    <t>40-100 HP TRACTOR</t>
  </si>
  <si>
    <t>Over 100 HP Tractor</t>
  </si>
  <si>
    <t>Other AG</t>
  </si>
  <si>
    <t>SKIDSTEER / UNILOADER</t>
  </si>
  <si>
    <t>Other CE</t>
  </si>
  <si>
    <t>Fronts</t>
  </si>
  <si>
    <t>Irrigation Equipment</t>
  </si>
  <si>
    <t>Residual / Balloon Payment Distribution</t>
  </si>
  <si>
    <t>0</t>
  </si>
  <si>
    <t>0 to 5</t>
  </si>
  <si>
    <t>06 to 10</t>
  </si>
  <si>
    <t>11 to 15</t>
  </si>
  <si>
    <t>16 to 20</t>
  </si>
  <si>
    <t>21 to 25</t>
  </si>
  <si>
    <t>26 to 30</t>
  </si>
  <si>
    <t>31 to 35</t>
  </si>
  <si>
    <t>36 to 40</t>
  </si>
  <si>
    <t>41+%</t>
  </si>
  <si>
    <t>$ 0 - $25,000</t>
  </si>
  <si>
    <t>$ 25,001 to $50,000</t>
  </si>
  <si>
    <t>$ 50,001 to $75,000</t>
  </si>
  <si>
    <t>$ 75,001 to $100,000</t>
  </si>
  <si>
    <t>$100,001 to $125,000</t>
  </si>
  <si>
    <t>$125,001 to $150,000</t>
  </si>
  <si>
    <t>Quarter of Maturity Distribution</t>
  </si>
  <si>
    <t>2004 Q1</t>
  </si>
  <si>
    <t>2004 Q2</t>
  </si>
  <si>
    <t>Seasoning Distribution</t>
  </si>
  <si>
    <t>0 to 6 months</t>
  </si>
  <si>
    <t>07 to 12 months</t>
  </si>
  <si>
    <t>13 to 18 months</t>
  </si>
  <si>
    <t>19 to 24 months</t>
  </si>
  <si>
    <t>25 to 30 months</t>
  </si>
  <si>
    <t>31 to 36 months</t>
  </si>
  <si>
    <t>37 to 42 months</t>
  </si>
  <si>
    <t>43 to 48 months</t>
  </si>
  <si>
    <t>49 to 54 months</t>
  </si>
  <si>
    <t>55 to 60 months</t>
  </si>
  <si>
    <t>Average Residual / Balloon Payment *</t>
  </si>
  <si>
    <t xml:space="preserve"> 0 - 30 Days</t>
  </si>
  <si>
    <t>151 - 180 Days</t>
  </si>
  <si>
    <t>121 - 150 Days</t>
  </si>
  <si>
    <t>100-140 HP TRACTOR</t>
  </si>
  <si>
    <t>40-60 HP TRACTOR</t>
  </si>
  <si>
    <t>60-100 HP TRACTOR</t>
  </si>
  <si>
    <t>OVER 140 HP TRACTOR</t>
  </si>
  <si>
    <t>Class B Notes</t>
  </si>
  <si>
    <t>Seller Notes</t>
  </si>
  <si>
    <t>Initial Invested Amount</t>
  </si>
  <si>
    <t>Drill</t>
  </si>
  <si>
    <t>Front End Loader</t>
  </si>
  <si>
    <t>Cane Harvesters</t>
  </si>
  <si>
    <t>Combines</t>
  </si>
  <si>
    <t>40&lt;100 HP Tractor</t>
  </si>
  <si>
    <t>SPRAYING EQUIPMENT</t>
  </si>
  <si>
    <t>4 EWD Tractors</t>
  </si>
  <si>
    <t>Under 40 HP Tractors</t>
  </si>
  <si>
    <t>CULTIVATORS,SEEDERS, HARROWS</t>
  </si>
  <si>
    <t>Backhoes</t>
  </si>
  <si>
    <t>Wheel Loaders</t>
  </si>
  <si>
    <t>Trenchers</t>
  </si>
  <si>
    <t>Rollers</t>
  </si>
  <si>
    <t>Cotton Pickers</t>
  </si>
  <si>
    <t>BALERS, WINDROWERS, MOWERS, RAKES</t>
  </si>
  <si>
    <t>CRAWLERS / DOZERS</t>
  </si>
  <si>
    <t>DUMP TRUCKS</t>
  </si>
  <si>
    <t>EXCAVATORS / GRADERS</t>
  </si>
  <si>
    <t>FEEDERS, MIXERS, WAGONS, BINS, FEED STORAGE</t>
  </si>
  <si>
    <t>HARVESTERS - Other</t>
  </si>
  <si>
    <t>MATERIALS HANDLING EQUIPMENT</t>
  </si>
  <si>
    <t>AGRICULTURAL MACHINERY</t>
  </si>
  <si>
    <t>CONSTRUCTION EQUIPMENT</t>
  </si>
  <si>
    <t>$200,001 to $300,000</t>
  </si>
  <si>
    <t>$150,000 to $200,000</t>
  </si>
  <si>
    <t>61 to 72 months</t>
  </si>
  <si>
    <t>Class A2 Notes</t>
  </si>
  <si>
    <t>Class A1 Notes</t>
  </si>
  <si>
    <t>4WD VEHICLE</t>
  </si>
  <si>
    <t>COMMERCIAL VEHICLE</t>
  </si>
  <si>
    <t>SCRAPERS</t>
  </si>
  <si>
    <t>MOTOR VEHICLE - AG</t>
  </si>
  <si>
    <t>2013Q1</t>
  </si>
  <si>
    <t>2013Q2</t>
  </si>
  <si>
    <t>2013Q3</t>
  </si>
  <si>
    <t>2013Q4</t>
  </si>
  <si>
    <t>2014Q1</t>
  </si>
  <si>
    <t>$300,001 to $400,000</t>
  </si>
  <si>
    <t>$400,001 to $500,000</t>
  </si>
  <si>
    <t>$500,000+</t>
  </si>
  <si>
    <t>Contract Balance Distribution</t>
  </si>
  <si>
    <t>Remaining Term Distribution</t>
  </si>
  <si>
    <t>60+ Months</t>
  </si>
  <si>
    <t>Origination LVR Distribution</t>
  </si>
  <si>
    <t>21% to 30%</t>
  </si>
  <si>
    <t>31% to 40%</t>
  </si>
  <si>
    <t>51% to 60%</t>
  </si>
  <si>
    <t>61% to 70%</t>
  </si>
  <si>
    <t>71% to 80%</t>
  </si>
  <si>
    <t>81% to 90%</t>
  </si>
  <si>
    <t>91% to 100%</t>
  </si>
  <si>
    <t>&gt; 100%</t>
  </si>
  <si>
    <t>New v Used</t>
  </si>
  <si>
    <t>New</t>
  </si>
  <si>
    <t>Used</t>
  </si>
  <si>
    <t>Contract Type</t>
  </si>
  <si>
    <t>Finance Lease</t>
  </si>
  <si>
    <t>Goods Mortgage</t>
  </si>
  <si>
    <t>Hire Purchase</t>
  </si>
  <si>
    <t>Contract by Source</t>
  </si>
  <si>
    <t>Non Hardship Refinance</t>
  </si>
  <si>
    <t>Hardship Refinance</t>
  </si>
  <si>
    <t>Payment Frequency Distribution</t>
  </si>
  <si>
    <t>6 Consecutive</t>
  </si>
  <si>
    <t>Annual</t>
  </si>
  <si>
    <t>Monthly</t>
  </si>
  <si>
    <t>Quarterly</t>
  </si>
  <si>
    <t>Semi Annual</t>
  </si>
  <si>
    <t>Structured</t>
  </si>
  <si>
    <t>Yield Distribution</t>
  </si>
  <si>
    <t>&lt; 4%</t>
  </si>
  <si>
    <t>4% to 5%</t>
  </si>
  <si>
    <t>5% to 6%</t>
  </si>
  <si>
    <t>6% to 7%</t>
  </si>
  <si>
    <t>7% to 8%</t>
  </si>
  <si>
    <t>8% to 9%</t>
  </si>
  <si>
    <t>9% to 10%</t>
  </si>
  <si>
    <t>10% to 11%</t>
  </si>
  <si>
    <t>11% to 12%</t>
  </si>
  <si>
    <t>&gt; 12%</t>
  </si>
  <si>
    <t>Top 5 Obligor</t>
  </si>
  <si>
    <t>10% to 20%</t>
  </si>
  <si>
    <t>41% to 50%</t>
  </si>
  <si>
    <t>Motor Vehicle AG</t>
  </si>
  <si>
    <t>0-12 Months</t>
  </si>
  <si>
    <t>13-24 Months</t>
  </si>
  <si>
    <t>25-36 Months</t>
  </si>
  <si>
    <t>37-48 Months</t>
  </si>
  <si>
    <t>GUIDANCE SYSTEMS</t>
  </si>
  <si>
    <t>Guidance Systems</t>
  </si>
  <si>
    <t>2014Q2</t>
  </si>
  <si>
    <t>2014Q3</t>
  </si>
  <si>
    <t>2014Q4</t>
  </si>
  <si>
    <t>2015Q1</t>
  </si>
  <si>
    <t>49-60 Months</t>
  </si>
  <si>
    <t>0 - 30 Days</t>
  </si>
  <si>
    <t>31 - 60 Days</t>
  </si>
  <si>
    <t>61 - 90 Days</t>
  </si>
  <si>
    <t>91 - 120 Days</t>
  </si>
  <si>
    <t>Refinance - Hardship</t>
  </si>
  <si>
    <t>&gt; 30 days</t>
  </si>
  <si>
    <t>&gt;90 days</t>
  </si>
  <si>
    <t>2015Q2</t>
  </si>
  <si>
    <t>2015Q3</t>
  </si>
  <si>
    <t>2015Q4</t>
  </si>
  <si>
    <t>2016Q1</t>
  </si>
  <si>
    <t>2016Q2</t>
  </si>
  <si>
    <t>2016Q3</t>
  </si>
  <si>
    <t>2016Q4</t>
  </si>
  <si>
    <t>* Expressed as a % of Aggreg. Rec. closing bal.</t>
  </si>
  <si>
    <t>100&lt;140 HP TRACTOR</t>
  </si>
  <si>
    <t>40&lt;60 HP TRACTOR</t>
  </si>
  <si>
    <t>60&lt;100 HP TRACTOR</t>
  </si>
  <si>
    <t>$0 - $25,000</t>
  </si>
  <si>
    <t>$25,001 - $50,000</t>
  </si>
  <si>
    <t>$50,001 - $75,000</t>
  </si>
  <si>
    <t>$75,001 - $100,000</t>
  </si>
  <si>
    <t>$100,001 - $125,000</t>
  </si>
  <si>
    <t>$125,001 - $150,000</t>
  </si>
  <si>
    <t>$150,001 - $200,000</t>
  </si>
  <si>
    <t>$200,001 - $300,000</t>
  </si>
  <si>
    <t>$300,001 - $400,000</t>
  </si>
  <si>
    <t>$400,001 - $500,000</t>
  </si>
  <si>
    <t>$500,001+</t>
  </si>
  <si>
    <t>6 to 10</t>
  </si>
  <si>
    <t>41+ %</t>
  </si>
  <si>
    <t>60+ months</t>
  </si>
  <si>
    <t>0 - 12 months</t>
  </si>
  <si>
    <t>13 - 24 months</t>
  </si>
  <si>
    <t>25 - 36 months</t>
  </si>
  <si>
    <t>37 - 48 months</t>
  </si>
  <si>
    <t>3.01% to 4%</t>
  </si>
  <si>
    <t>1. 0 - 30 Days</t>
  </si>
  <si>
    <t>2. 31 - 60 Days</t>
  </si>
  <si>
    <t>3. 61 - 90 Days</t>
  </si>
  <si>
    <t>4. 91 - 120 Days</t>
  </si>
  <si>
    <t>5. 121 - 150 Days</t>
  </si>
  <si>
    <t>6. 151 - 180 Days</t>
  </si>
  <si>
    <t>Class C Notes</t>
  </si>
  <si>
    <t>CNH CAPITAL AUSTRALIA RECEIVABLES TRUST SERIES 2013-1 (TERM DEAL)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</si>
  <si>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</si>
  <si>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</si>
  <si>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</si>
  <si>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</si>
  <si>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</si>
  <si>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</si>
  <si>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</si>
  <si>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</si>
  <si>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</si>
  <si>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</si>
  <si>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</si>
  <si>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</si>
  <si>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USed</t>
  </si>
  <si>
    <t>0% to 1%</t>
  </si>
  <si>
    <t>1.01% to 2%</t>
  </si>
  <si>
    <t>2.01% to 3%</t>
  </si>
  <si>
    <t>Cumulative Defaults &amp; Losses</t>
  </si>
  <si>
    <t>Month</t>
  </si>
  <si>
    <t>Gross Losses</t>
  </si>
  <si>
    <t>Net Losses</t>
  </si>
  <si>
    <t/>
  </si>
  <si>
    <t>49 - 60 months</t>
  </si>
  <si>
    <t>01. 10% to 20%</t>
  </si>
  <si>
    <t>02. 21% to 30%</t>
  </si>
  <si>
    <t>03. 31% to 40%</t>
  </si>
  <si>
    <t>04. 41% to 50%</t>
  </si>
  <si>
    <t>05. 51% to 60%</t>
  </si>
  <si>
    <t>06. 61% to 70%</t>
  </si>
  <si>
    <t>07. 71% to 80%</t>
  </si>
  <si>
    <t>08. 81% to 90%</t>
  </si>
  <si>
    <t>09. 91% to 100%</t>
  </si>
  <si>
    <t>05. 4.01% to 5%</t>
  </si>
  <si>
    <t>06. 5.01% to 6%</t>
  </si>
  <si>
    <t>07. 6.01% to 7%</t>
  </si>
  <si>
    <t>08. 7.01% to 8%</t>
  </si>
  <si>
    <t>09. 8.01% to 9%</t>
  </si>
  <si>
    <t>10. 9.01% to 10%</t>
  </si>
  <si>
    <t>11. 10.01% to 11%</t>
  </si>
  <si>
    <t>12. 11.01% to 12%</t>
  </si>
  <si>
    <t>13. &gt; 12%</t>
  </si>
  <si>
    <t>Invested Amount as at Previous Payment Date:  16 October 2013</t>
  </si>
  <si>
    <t>Stated Amount as at Previous Payment Date:  16 October 2013</t>
  </si>
  <si>
    <t>Invested Amount as at Payment Date:  16 January 2014</t>
  </si>
  <si>
    <t>Stated Amount as at Payment Date:  16 January 2014</t>
  </si>
  <si>
    <t>Bond Factor at Payment Date:  16 January 2014</t>
  </si>
  <si>
    <t>Coupon Entitlement to be paid out on the current Payment Date: 16 January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</si>
</sst>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%"/>
    <numFmt numFmtId="165" formatCode="0.0000"/>
    <numFmt numFmtId="166" formatCode="&quot;$&quot;#,##0.00"/>
    <numFmt numFmtId="167" formatCode="#,##0.00%;[Red]\(#,##0.00\)%"/>
    <numFmt numFmtId="168" formatCode="_-* #,##0_-;\-* #,##0_-;_-* &quot;-&quot;??_-;_-@_-"/>
  </numFmts>
  <fonts count="25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8"/>
      <color indexed="9"/>
      <name val="Arial"/>
      <family val="2"/>
    </font>
    <font>
      <b/>
      <sz val="8"/>
      <color indexed="10"/>
      <name val="Arial"/>
      <family val="2"/>
    </font>
    <font>
      <sz val="8"/>
      <name val="LucidaSans"/>
    </font>
    <font>
      <b/>
      <u/>
      <sz val="8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sz val="8"/>
      <color indexed="12"/>
      <name val="Arial"/>
      <family val="2"/>
    </font>
    <font>
      <i/>
      <sz val="8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7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5" fillId="2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Border="1"/>
    <xf numFmtId="0" fontId="2" fillId="0" borderId="1" xfId="0" applyFont="1" applyBorder="1"/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left" vertical="top"/>
    </xf>
    <xf numFmtId="4" fontId="2" fillId="0" borderId="1" xfId="0" applyNumberFormat="1" applyFont="1" applyFill="1" applyBorder="1"/>
    <xf numFmtId="4" fontId="2" fillId="0" borderId="8" xfId="0" applyNumberFormat="1" applyFont="1" applyFill="1" applyBorder="1"/>
    <xf numFmtId="4" fontId="2" fillId="0" borderId="9" xfId="0" applyNumberFormat="1" applyFont="1" applyFill="1" applyBorder="1"/>
    <xf numFmtId="0" fontId="10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vertical="top"/>
    </xf>
    <xf numFmtId="0" fontId="7" fillId="0" borderId="4" xfId="0" applyFont="1" applyBorder="1" applyAlignment="1">
      <alignment horizontal="left" vertical="top"/>
    </xf>
    <xf numFmtId="0" fontId="8" fillId="0" borderId="11" xfId="0" applyFont="1" applyBorder="1" applyAlignment="1">
      <alignment vertical="top"/>
    </xf>
    <xf numFmtId="0" fontId="9" fillId="2" borderId="0" xfId="0" applyFont="1" applyFill="1"/>
    <xf numFmtId="0" fontId="2" fillId="0" borderId="0" xfId="0" quotePrefix="1" applyFont="1" applyFill="1"/>
    <xf numFmtId="0" fontId="2" fillId="0" borderId="4" xfId="0" applyFont="1" applyFill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" xfId="0" applyFont="1" applyFill="1" applyBorder="1"/>
    <xf numFmtId="0" fontId="2" fillId="0" borderId="3" xfId="0" quotePrefix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vertical="top"/>
    </xf>
    <xf numFmtId="0" fontId="6" fillId="0" borderId="13" xfId="0" applyFont="1" applyFill="1" applyBorder="1" applyAlignment="1">
      <alignment horizontal="right"/>
    </xf>
    <xf numFmtId="4" fontId="2" fillId="0" borderId="7" xfId="0" applyNumberFormat="1" applyFont="1" applyFill="1" applyBorder="1"/>
    <xf numFmtId="4" fontId="2" fillId="0" borderId="14" xfId="0" applyNumberFormat="1" applyFont="1" applyFill="1" applyBorder="1"/>
    <xf numFmtId="4" fontId="2" fillId="0" borderId="12" xfId="0" applyNumberFormat="1" applyFont="1" applyFill="1" applyBorder="1"/>
    <xf numFmtId="165" fontId="2" fillId="0" borderId="7" xfId="0" applyNumberFormat="1" applyFont="1" applyFill="1" applyBorder="1"/>
    <xf numFmtId="3" fontId="2" fillId="0" borderId="7" xfId="0" applyNumberFormat="1" applyFont="1" applyFill="1" applyBorder="1"/>
    <xf numFmtId="4" fontId="2" fillId="0" borderId="13" xfId="0" applyNumberFormat="1" applyFont="1" applyFill="1" applyBorder="1"/>
    <xf numFmtId="0" fontId="7" fillId="0" borderId="0" xfId="0" quotePrefix="1" applyFont="1" applyBorder="1" applyAlignment="1">
      <alignment horizontal="left" vertical="top"/>
    </xf>
    <xf numFmtId="0" fontId="10" fillId="0" borderId="0" xfId="0" applyFont="1" applyAlignment="1">
      <alignment horizontal="right"/>
    </xf>
    <xf numFmtId="4" fontId="2" fillId="0" borderId="15" xfId="0" applyNumberFormat="1" applyFont="1" applyFill="1" applyBorder="1"/>
    <xf numFmtId="4" fontId="2" fillId="0" borderId="16" xfId="0" applyNumberFormat="1" applyFont="1" applyFill="1" applyBorder="1"/>
    <xf numFmtId="4" fontId="2" fillId="0" borderId="5" xfId="0" applyNumberFormat="1" applyFont="1" applyFill="1" applyBorder="1"/>
    <xf numFmtId="0" fontId="2" fillId="0" borderId="11" xfId="0" applyFont="1" applyFill="1" applyBorder="1" applyAlignment="1">
      <alignment horizontal="right"/>
    </xf>
    <xf numFmtId="0" fontId="9" fillId="0" borderId="0" xfId="0" applyFont="1" applyFill="1"/>
    <xf numFmtId="0" fontId="5" fillId="2" borderId="0" xfId="0" applyFont="1" applyFill="1"/>
    <xf numFmtId="0" fontId="5" fillId="0" borderId="0" xfId="0" applyFont="1" applyFill="1"/>
    <xf numFmtId="15" fontId="5" fillId="2" borderId="0" xfId="0" applyNumberFormat="1" applyFont="1" applyFill="1" applyAlignment="1">
      <alignment horizontal="center"/>
    </xf>
    <xf numFmtId="44" fontId="2" fillId="0" borderId="0" xfId="0" applyNumberFormat="1" applyFont="1"/>
    <xf numFmtId="44" fontId="2" fillId="0" borderId="0" xfId="0" applyNumberFormat="1" applyFont="1" applyFill="1"/>
    <xf numFmtId="15" fontId="5" fillId="0" borderId="0" xfId="0" applyNumberFormat="1" applyFont="1" applyFill="1" applyAlignment="1">
      <alignment horizontal="center"/>
    </xf>
    <xf numFmtId="0" fontId="4" fillId="0" borderId="0" xfId="0" applyFont="1" applyFill="1"/>
    <xf numFmtId="3" fontId="11" fillId="0" borderId="0" xfId="5" applyNumberFormat="1" applyFont="1" applyFill="1"/>
    <xf numFmtId="166" fontId="11" fillId="0" borderId="0" xfId="5" applyNumberFormat="1" applyFont="1" applyFill="1"/>
    <xf numFmtId="3" fontId="2" fillId="0" borderId="0" xfId="0" applyNumberFormat="1" applyFont="1" applyFill="1"/>
    <xf numFmtId="4" fontId="11" fillId="0" borderId="0" xfId="5" applyNumberFormat="1" applyFont="1" applyFill="1"/>
    <xf numFmtId="10" fontId="11" fillId="0" borderId="0" xfId="6" applyNumberFormat="1" applyFont="1" applyFill="1"/>
    <xf numFmtId="0" fontId="11" fillId="0" borderId="0" xfId="5" applyFont="1" applyFill="1"/>
    <xf numFmtId="0" fontId="9" fillId="0" borderId="0" xfId="0" applyFont="1" applyFill="1" applyAlignment="1">
      <alignment wrapText="1"/>
    </xf>
    <xf numFmtId="0" fontId="4" fillId="0" borderId="1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10" fontId="2" fillId="0" borderId="0" xfId="0" applyNumberFormat="1" applyFont="1"/>
    <xf numFmtId="10" fontId="2" fillId="0" borderId="0" xfId="0" applyNumberFormat="1" applyFont="1" applyFill="1"/>
    <xf numFmtId="0" fontId="2" fillId="0" borderId="0" xfId="0" quotePrefix="1" applyFont="1"/>
    <xf numFmtId="3" fontId="2" fillId="0" borderId="12" xfId="0" applyNumberFormat="1" applyFont="1" applyFill="1" applyBorder="1"/>
    <xf numFmtId="10" fontId="2" fillId="0" borderId="0" xfId="0" applyNumberFormat="1" applyFont="1" applyFill="1" applyBorder="1"/>
    <xf numFmtId="0" fontId="12" fillId="0" borderId="0" xfId="0" applyFont="1"/>
    <xf numFmtId="0" fontId="12" fillId="0" borderId="0" xfId="0" applyFont="1" applyFill="1"/>
    <xf numFmtId="0" fontId="9" fillId="0" borderId="0" xfId="0" applyFont="1"/>
    <xf numFmtId="0" fontId="12" fillId="0" borderId="0" xfId="0" applyFont="1" applyAlignment="1">
      <alignment wrapText="1"/>
    </xf>
    <xf numFmtId="0" fontId="12" fillId="0" borderId="0" xfId="0" applyFont="1" applyFill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10" fontId="2" fillId="0" borderId="0" xfId="6" applyNumberFormat="1" applyFont="1"/>
    <xf numFmtId="10" fontId="2" fillId="0" borderId="12" xfId="6" applyNumberFormat="1" applyFont="1" applyBorder="1"/>
    <xf numFmtId="10" fontId="2" fillId="0" borderId="0" xfId="1" applyNumberFormat="1" applyFont="1"/>
    <xf numFmtId="0" fontId="6" fillId="0" borderId="0" xfId="0" applyFont="1" applyFill="1"/>
    <xf numFmtId="0" fontId="13" fillId="0" borderId="0" xfId="0" applyFont="1" applyFill="1"/>
    <xf numFmtId="0" fontId="14" fillId="0" borderId="0" xfId="0" applyFont="1"/>
    <xf numFmtId="0" fontId="13" fillId="0" borderId="0" xfId="0" applyFont="1"/>
    <xf numFmtId="0" fontId="9" fillId="0" borderId="0" xfId="0" applyFont="1" applyFill="1" applyBorder="1"/>
    <xf numFmtId="10" fontId="2" fillId="0" borderId="0" xfId="6" applyNumberFormat="1" applyFont="1" applyFill="1"/>
    <xf numFmtId="164" fontId="2" fillId="0" borderId="1" xfId="6" applyNumberFormat="1" applyFont="1" applyBorder="1"/>
    <xf numFmtId="44" fontId="2" fillId="3" borderId="9" xfId="0" applyNumberFormat="1" applyFont="1" applyFill="1" applyBorder="1"/>
    <xf numFmtId="44" fontId="2" fillId="0" borderId="9" xfId="0" applyNumberFormat="1" applyFont="1" applyBorder="1"/>
    <xf numFmtId="44" fontId="2" fillId="0" borderId="0" xfId="2" applyFont="1" applyFill="1"/>
    <xf numFmtId="44" fontId="11" fillId="0" borderId="0" xfId="2" applyFont="1" applyFill="1"/>
    <xf numFmtId="39" fontId="2" fillId="0" borderId="0" xfId="0" applyNumberFormat="1" applyFont="1"/>
    <xf numFmtId="39" fontId="2" fillId="0" borderId="0" xfId="0" applyNumberFormat="1" applyFont="1" applyFill="1"/>
    <xf numFmtId="164" fontId="2" fillId="0" borderId="1" xfId="6" applyNumberFormat="1" applyFont="1" applyFill="1" applyBorder="1"/>
    <xf numFmtId="0" fontId="2" fillId="0" borderId="8" xfId="0" applyFont="1" applyBorder="1" applyAlignment="1">
      <alignment horizontal="right"/>
    </xf>
    <xf numFmtId="4" fontId="2" fillId="0" borderId="6" xfId="0" applyNumberFormat="1" applyFont="1" applyFill="1" applyBorder="1"/>
    <xf numFmtId="165" fontId="2" fillId="0" borderId="1" xfId="0" applyNumberFormat="1" applyFont="1" applyFill="1" applyBorder="1"/>
    <xf numFmtId="3" fontId="2" fillId="0" borderId="1" xfId="0" applyNumberFormat="1" applyFont="1" applyFill="1" applyBorder="1"/>
    <xf numFmtId="164" fontId="2" fillId="0" borderId="7" xfId="6" applyNumberFormat="1" applyFont="1" applyFill="1" applyBorder="1"/>
    <xf numFmtId="164" fontId="2" fillId="0" borderId="7" xfId="6" applyNumberFormat="1" applyFont="1" applyBorder="1"/>
    <xf numFmtId="4" fontId="2" fillId="0" borderId="7" xfId="0" quotePrefix="1" applyNumberFormat="1" applyFont="1" applyFill="1" applyBorder="1"/>
    <xf numFmtId="4" fontId="2" fillId="0" borderId="1" xfId="0" quotePrefix="1" applyNumberFormat="1" applyFont="1" applyFill="1" applyBorder="1"/>
    <xf numFmtId="43" fontId="2" fillId="0" borderId="0" xfId="1" applyFont="1"/>
    <xf numFmtId="10" fontId="10" fillId="0" borderId="0" xfId="6" applyNumberFormat="1" applyFont="1" applyAlignment="1">
      <alignment horizontal="right"/>
    </xf>
    <xf numFmtId="0" fontId="19" fillId="0" borderId="0" xfId="0" applyFont="1"/>
    <xf numFmtId="0" fontId="20" fillId="0" borderId="0" xfId="0" applyFont="1" applyFill="1"/>
    <xf numFmtId="0" fontId="20" fillId="0" borderId="0" xfId="0" applyFont="1"/>
    <xf numFmtId="44" fontId="3" fillId="0" borderId="0" xfId="0" applyNumberFormat="1" applyFont="1" applyFill="1"/>
    <xf numFmtId="0" fontId="3" fillId="0" borderId="0" xfId="0" applyFont="1" applyFill="1"/>
    <xf numFmtId="0" fontId="16" fillId="0" borderId="0" xfId="0" applyFont="1" applyFill="1"/>
    <xf numFmtId="4" fontId="2" fillId="0" borderId="6" xfId="0" quotePrefix="1" applyNumberFormat="1" applyFont="1" applyFill="1" applyBorder="1"/>
    <xf numFmtId="43" fontId="5" fillId="2" borderId="0" xfId="1" applyFont="1" applyFill="1" applyAlignment="1">
      <alignment horizontal="center"/>
    </xf>
    <xf numFmtId="43" fontId="2" fillId="0" borderId="7" xfId="1" applyFont="1" applyFill="1" applyBorder="1"/>
    <xf numFmtId="43" fontId="2" fillId="0" borderId="0" xfId="1" applyFont="1" applyFill="1" applyBorder="1"/>
    <xf numFmtId="43" fontId="15" fillId="0" borderId="0" xfId="1" quotePrefix="1" applyFont="1" applyFill="1" applyBorder="1"/>
    <xf numFmtId="43" fontId="11" fillId="0" borderId="0" xfId="1" applyFont="1"/>
    <xf numFmtId="43" fontId="4" fillId="0" borderId="10" xfId="1" applyFont="1" applyFill="1" applyBorder="1" applyAlignment="1">
      <alignment wrapText="1"/>
    </xf>
    <xf numFmtId="43" fontId="2" fillId="0" borderId="0" xfId="1" applyFont="1" applyFill="1"/>
    <xf numFmtId="43" fontId="2" fillId="0" borderId="0" xfId="1" applyFont="1" applyFill="1" applyAlignment="1">
      <alignment horizontal="right"/>
    </xf>
    <xf numFmtId="43" fontId="2" fillId="0" borderId="0" xfId="1" applyFont="1" applyAlignment="1">
      <alignment horizontal="right"/>
    </xf>
    <xf numFmtId="43" fontId="2" fillId="0" borderId="2" xfId="1" applyFont="1" applyBorder="1"/>
    <xf numFmtId="0" fontId="0" fillId="0" borderId="0" xfId="0" quotePrefix="1" applyNumberFormat="1"/>
    <xf numFmtId="0" fontId="19" fillId="0" borderId="0" xfId="0" quotePrefix="1" applyNumberFormat="1" applyFont="1" applyFill="1"/>
    <xf numFmtId="0" fontId="19" fillId="0" borderId="0" xfId="0" quotePrefix="1" applyNumberFormat="1" applyFont="1"/>
    <xf numFmtId="0" fontId="19" fillId="0" borderId="0" xfId="4" applyFont="1" applyFill="1" applyBorder="1" applyAlignment="1">
      <alignment wrapText="1"/>
    </xf>
    <xf numFmtId="0" fontId="20" fillId="0" borderId="0" xfId="0" applyFont="1" applyBorder="1"/>
    <xf numFmtId="0" fontId="20" fillId="0" borderId="0" xfId="0" applyFont="1" applyFill="1" applyBorder="1"/>
    <xf numFmtId="0" fontId="6" fillId="0" borderId="0" xfId="0" applyFont="1" applyFill="1" applyBorder="1"/>
    <xf numFmtId="0" fontId="19" fillId="0" borderId="0" xfId="0" quotePrefix="1" applyNumberFormat="1" applyFont="1" applyBorder="1"/>
    <xf numFmtId="0" fontId="0" fillId="0" borderId="0" xfId="0" applyBorder="1"/>
    <xf numFmtId="0" fontId="0" fillId="0" borderId="0" xfId="0" applyNumberFormat="1" applyBorder="1"/>
    <xf numFmtId="43" fontId="3" fillId="0" borderId="0" xfId="0" applyNumberFormat="1" applyFont="1" applyFill="1"/>
    <xf numFmtId="9" fontId="2" fillId="0" borderId="2" xfId="6" applyFont="1" applyBorder="1"/>
    <xf numFmtId="10" fontId="2" fillId="0" borderId="2" xfId="1" applyNumberFormat="1" applyFont="1" applyBorder="1"/>
    <xf numFmtId="43" fontId="2" fillId="0" borderId="2" xfId="1" applyNumberFormat="1" applyFont="1" applyBorder="1"/>
    <xf numFmtId="10" fontId="2" fillId="0" borderId="12" xfId="0" applyNumberFormat="1" applyFont="1" applyFill="1" applyBorder="1"/>
    <xf numFmtId="167" fontId="2" fillId="0" borderId="0" xfId="0" applyNumberFormat="1" applyFont="1"/>
    <xf numFmtId="167" fontId="2" fillId="0" borderId="0" xfId="1" applyNumberFormat="1" applyFont="1"/>
    <xf numFmtId="43" fontId="2" fillId="0" borderId="2" xfId="1" applyFont="1" applyFill="1" applyBorder="1"/>
    <xf numFmtId="3" fontId="2" fillId="0" borderId="0" xfId="0" applyNumberFormat="1" applyFont="1"/>
    <xf numFmtId="0" fontId="2" fillId="0" borderId="0" xfId="0" applyFont="1" applyFill="1" applyBorder="1" applyAlignment="1">
      <alignment horizontal="right"/>
    </xf>
    <xf numFmtId="0" fontId="21" fillId="0" borderId="0" xfId="11" applyFont="1"/>
    <xf numFmtId="168" fontId="22" fillId="0" borderId="0" xfId="12" applyNumberFormat="1" applyFont="1"/>
    <xf numFmtId="0" fontId="22" fillId="0" borderId="0" xfId="11" applyFont="1"/>
    <xf numFmtId="0" fontId="22" fillId="0" borderId="0" xfId="11" applyFont="1" applyFill="1"/>
    <xf numFmtId="0" fontId="23" fillId="0" borderId="0" xfId="11" applyFont="1"/>
    <xf numFmtId="168" fontId="23" fillId="0" borderId="0" xfId="12" applyNumberFormat="1" applyFont="1" applyAlignment="1">
      <alignment horizontal="center"/>
    </xf>
    <xf numFmtId="17" fontId="22" fillId="0" borderId="0" xfId="11" applyNumberFormat="1" applyFont="1"/>
    <xf numFmtId="10" fontId="22" fillId="0" borderId="0" xfId="13" applyNumberFormat="1" applyFont="1"/>
    <xf numFmtId="10" fontId="22" fillId="0" borderId="0" xfId="11" applyNumberFormat="1" applyFont="1" applyFill="1"/>
    <xf numFmtId="10" fontId="22" fillId="0" borderId="0" xfId="6" applyNumberFormat="1" applyFont="1"/>
    <xf numFmtId="10" fontId="22" fillId="0" borderId="0" xfId="14" applyNumberFormat="1" applyFont="1" applyFill="1"/>
    <xf numFmtId="10" fontId="22" fillId="0" borderId="0" xfId="14" applyNumberFormat="1" applyFont="1"/>
  </cellXfs>
  <cellStyles count="15">
    <cellStyle name="Comma" xfId="1" builtinId="3"/>
    <cellStyle name="Comma 11" xfId="10"/>
    <cellStyle name="Comma 2" xfId="12"/>
    <cellStyle name="Comma 6" xfId="7"/>
    <cellStyle name="Comma 8" xfId="8"/>
    <cellStyle name="Comma 9" xfId="9"/>
    <cellStyle name="Currency" xfId="2" builtinId="4"/>
    <cellStyle name="Normal" xfId="0" builtinId="0"/>
    <cellStyle name="Normal 2" xfId="3"/>
    <cellStyle name="Normal 2 2" xfId="11"/>
    <cellStyle name="Normal_(917__REMAINING_TERM" xfId="4"/>
    <cellStyle name="Normal_310801 Quarterly Portfolio Requirements" xfId="5"/>
    <cellStyle name="Percent" xfId="6" builtinId="5"/>
    <cellStyle name="Percent 2" xfId="13"/>
    <cellStyle name="Percent 3" xfId="1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22337134246331E-2"/>
          <c:y val="0.17708333333333334"/>
          <c:w val="0.86296398366870808"/>
          <c:h val="0.62890393086829055"/>
        </c:manualLayout>
      </c:layout>
      <c:lineChart>
        <c:grouping val="standard"/>
        <c:varyColors val="0"/>
        <c:ser>
          <c:idx val="0"/>
          <c:order val="0"/>
          <c:tx>
            <c:strRef>
              <c:f>'Cumulative Defaults'!$B$3</c:f>
              <c:strCache>
                <c:ptCount val="1"/>
                <c:pt idx="0">
                  <c:v>Gross Losses</c:v>
                </c:pt>
              </c:strCache>
            </c:strRef>
          </c:tx>
          <c:cat>
            <c:numRef>
              <c:f>'Cumulative Defaults'!$A$4:$A$11</c:f>
              <c:numCache>
                <c:formatCode>mmm\-yy</c:formatCode>
                <c:ptCount val="8"/>
                <c:pt idx="0">
                  <c:v>41518</c:v>
                </c:pt>
                <c:pt idx="1">
                  <c:v>41609</c:v>
                </c:pt>
              </c:numCache>
            </c:numRef>
          </c:cat>
          <c:val>
            <c:numRef>
              <c:f>'Cumulative Defaults'!$B$4:$B$11</c:f>
              <c:numCache>
                <c:formatCode>0.00%</c:formatCode>
                <c:ptCount val="8"/>
                <c:pt idx="0">
                  <c:v>8.1764955000000002E-4</c:v>
                </c:pt>
                <c:pt idx="1">
                  <c:v>2.4623477500000001E-4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'Cumulative Defaults'!$C$3</c:f>
              <c:strCache>
                <c:ptCount val="1"/>
                <c:pt idx="0">
                  <c:v>Recoveries</c:v>
                </c:pt>
              </c:strCache>
            </c:strRef>
          </c:tx>
          <c:cat>
            <c:numRef>
              <c:f>'Cumulative Defaults'!$A$4:$A$11</c:f>
              <c:numCache>
                <c:formatCode>mmm\-yy</c:formatCode>
                <c:ptCount val="8"/>
                <c:pt idx="0">
                  <c:v>41518</c:v>
                </c:pt>
                <c:pt idx="1">
                  <c:v>41609</c:v>
                </c:pt>
              </c:numCache>
            </c:numRef>
          </c:cat>
          <c:val>
            <c:numRef>
              <c:f>'Cumulative Defaults'!$C$4:$C$11</c:f>
              <c:numCache>
                <c:formatCode>0.00%</c:formatCode>
                <c:ptCount val="8"/>
                <c:pt idx="0">
                  <c:v>1.1157090909091038E-6</c:v>
                </c:pt>
                <c:pt idx="1">
                  <c:v>2.3625E-4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'Cumulative Defaults'!$D$3</c:f>
              <c:strCache>
                <c:ptCount val="1"/>
                <c:pt idx="0">
                  <c:v>Net Losses</c:v>
                </c:pt>
              </c:strCache>
            </c:strRef>
          </c:tx>
          <c:cat>
            <c:numRef>
              <c:f>'Cumulative Defaults'!$A$4:$A$11</c:f>
              <c:numCache>
                <c:formatCode>mmm\-yy</c:formatCode>
                <c:ptCount val="8"/>
                <c:pt idx="0">
                  <c:v>41518</c:v>
                </c:pt>
                <c:pt idx="1">
                  <c:v>41609</c:v>
                </c:pt>
              </c:numCache>
            </c:numRef>
          </c:cat>
          <c:val>
            <c:numRef>
              <c:f>'Cumulative Defaults'!$D$4:$D$11</c:f>
              <c:numCache>
                <c:formatCode>0.00%</c:formatCode>
                <c:ptCount val="8"/>
                <c:pt idx="0">
                  <c:v>8.1653384090909088E-4</c:v>
                </c:pt>
                <c:pt idx="1">
                  <c:v>9.9847750000000115E-6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11136"/>
        <c:axId val="128412672"/>
      </c:lineChart>
      <c:dateAx>
        <c:axId val="12841113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crossAx val="128412672"/>
        <c:crosses val="autoZero"/>
        <c:auto val="1"/>
        <c:lblOffset val="100"/>
        <c:baseTimeUnit val="months"/>
        <c:majorUnit val="3"/>
        <c:majorTimeUnit val="months"/>
      </c:dateAx>
      <c:valAx>
        <c:axId val="128412672"/>
        <c:scaling>
          <c:orientation val="minMax"/>
          <c:max val="0.05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284111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0</xdr:col>
      <xdr:colOff>1139535</xdr:colOff>
      <xdr:row>5</xdr:row>
      <xdr:rowOff>19050</xdr:rowOff>
    </xdr:to>
    <xdr:sp macro="[2]!Print_Collateral_Data" textlink="">
      <xdr:nvSpPr>
        <xdr:cNvPr id="2" name="Rectangle 1"/>
        <xdr:cNvSpPr>
          <a:spLocks noChangeArrowheads="1"/>
        </xdr:cNvSpPr>
      </xdr:nvSpPr>
      <xdr:spPr bwMode="auto">
        <a:xfrm>
          <a:off x="57150" y="66675"/>
          <a:ext cx="1082385" cy="771525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Print Collateral Tables for the Last 3 Collection Periods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57150</xdr:rowOff>
    </xdr:from>
    <xdr:to>
      <xdr:col>14</xdr:col>
      <xdr:colOff>28575</xdr:colOff>
      <xdr:row>22</xdr:row>
      <xdr:rowOff>114300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0.15278</cdr:x>
      <cdr:y>0.03571</cdr:y>
    </cdr:from>
    <cdr:to>
      <cdr:x>0.78056</cdr:x>
      <cdr:y>0.16518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7750" y="152400"/>
          <a:ext cx="4305299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CNH CAPITAL AUSTRALIA RECEIVABLES TRUST SERIES 2011-1</a:t>
          </a:r>
        </a:p>
        <a:p xmlns:a="http://schemas.openxmlformats.org/drawingml/2006/main">
          <a:pPr algn="ctr"/>
          <a:r>
            <a:rPr lang="en-US" sz="1100"/>
            <a:t>Cumulative Gross</a:t>
          </a:r>
          <a:r>
            <a:rPr lang="en-US" sz="1100" baseline="0"/>
            <a:t> Losses, Recoveries and Net Losses </a:t>
          </a:r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3-1/2013/Servicer%20Reconciliation/201309/201309%202013-1%20Monthly%20Base%20Tab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312%20CNH%20Series%202013-1%20QM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3-1/2013/Payment%20Schedules/201309%202013-1%20P&amp;I%20%20Schedu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3-1/2013/Payment%20Schedules/201311%202013-1%20P&amp;I%20%20Schedu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3-1/2013/Payment%20Schedules/201310%202013-1%20P&amp;I%20%20Schedu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3-1/2013/Servicer%20Reconciliation/201312/201312%202013-1%20Servicer%20Reconciliat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3-1/2013/Servicer%20Reconciliation/201312/201312%202013-1%20Monthly%20Base%20Tabl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3-1/2013/Servicer%20Reconciliation/201312/201312%202013-1%20Servicer%20Summar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Table"/>
      <sheetName val="Revised Base Table"/>
      <sheetName val="Remaining Term"/>
      <sheetName val="Contract Yield"/>
      <sheetName val="Frequency"/>
      <sheetName val="LVR Band"/>
      <sheetName val="Sheet1"/>
    </sheetNames>
    <sheetDataSet>
      <sheetData sheetId="0"/>
      <sheetData sheetId="1">
        <row r="4620">
          <cell r="W4620">
            <v>51.33729628389451</v>
          </cell>
        </row>
      </sheetData>
      <sheetData sheetId="2">
        <row r="1">
          <cell r="A1" t="str">
            <v>Row Labels</v>
          </cell>
        </row>
      </sheetData>
      <sheetData sheetId="3">
        <row r="1">
          <cell r="A1" t="str">
            <v>Row Labels</v>
          </cell>
          <cell r="B1" t="str">
            <v>Sum of OSPrincipal</v>
          </cell>
        </row>
        <row r="2">
          <cell r="A2" t="str">
            <v>&gt; 12%</v>
          </cell>
          <cell r="B2">
            <v>4836176.67</v>
          </cell>
        </row>
        <row r="3">
          <cell r="A3" t="str">
            <v>0% to 1%</v>
          </cell>
          <cell r="B3">
            <v>24374962.29999999</v>
          </cell>
        </row>
        <row r="4">
          <cell r="A4" t="str">
            <v>1.01% to 2%</v>
          </cell>
          <cell r="B4">
            <v>20618252.959999997</v>
          </cell>
        </row>
        <row r="5">
          <cell r="A5" t="str">
            <v>10.01% to 11%</v>
          </cell>
          <cell r="B5">
            <v>6027801.7100000018</v>
          </cell>
        </row>
        <row r="6">
          <cell r="A6" t="str">
            <v>11.01% to 12%</v>
          </cell>
          <cell r="B6">
            <v>3074672.1700000004</v>
          </cell>
        </row>
        <row r="7">
          <cell r="A7" t="str">
            <v>2.01% to 3%</v>
          </cell>
          <cell r="B7">
            <v>38877423.610000007</v>
          </cell>
        </row>
        <row r="8">
          <cell r="A8" t="str">
            <v>3.01% to 4%</v>
          </cell>
          <cell r="B8">
            <v>16025532.769999998</v>
          </cell>
        </row>
        <row r="9">
          <cell r="A9" t="str">
            <v>4.01% to 5%</v>
          </cell>
          <cell r="B9">
            <v>24258263.190000005</v>
          </cell>
        </row>
        <row r="10">
          <cell r="A10" t="str">
            <v>5.01% to 6%</v>
          </cell>
          <cell r="B10">
            <v>60993374.989999965</v>
          </cell>
        </row>
        <row r="11">
          <cell r="A11" t="str">
            <v>6.01% to 7%</v>
          </cell>
          <cell r="B11">
            <v>77586675.840000018</v>
          </cell>
        </row>
        <row r="12">
          <cell r="A12" t="str">
            <v>7.01% to 8%</v>
          </cell>
          <cell r="B12">
            <v>47011670.619999953</v>
          </cell>
        </row>
        <row r="13">
          <cell r="A13" t="str">
            <v>8.01% to 9%</v>
          </cell>
          <cell r="B13">
            <v>35752458.720000006</v>
          </cell>
        </row>
        <row r="14">
          <cell r="A14" t="str">
            <v>9.01% to 10%</v>
          </cell>
          <cell r="B14">
            <v>8135235.6599999992</v>
          </cell>
        </row>
        <row r="15">
          <cell r="A15" t="str">
            <v>Grand Total</v>
          </cell>
          <cell r="B15">
            <v>367572501.20999998</v>
          </cell>
        </row>
      </sheetData>
      <sheetData sheetId="4">
        <row r="1">
          <cell r="A1" t="str">
            <v>Row Labels</v>
          </cell>
        </row>
      </sheetData>
      <sheetData sheetId="5">
        <row r="1">
          <cell r="A1" t="str">
            <v>Row Labels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ateral Tables"/>
      <sheetName val="16 Jan 14"/>
      <sheetName val="16 Oct 13"/>
      <sheetName val="Ledger"/>
    </sheetNames>
    <definedNames>
      <definedName name="Print_Collateral_Data"/>
    </definedNames>
    <sheetDataSet>
      <sheetData sheetId="0">
        <row r="9">
          <cell r="I9">
            <v>327059.82</v>
          </cell>
        </row>
      </sheetData>
      <sheetData sheetId="1">
        <row r="23">
          <cell r="H23">
            <v>24290790.889999971</v>
          </cell>
        </row>
        <row r="37">
          <cell r="H37">
            <v>98493.91</v>
          </cell>
        </row>
      </sheetData>
      <sheetData sheetId="2">
        <row r="37">
          <cell r="E37"/>
        </row>
      </sheetData>
      <sheetData sheetId="3">
        <row r="2">
          <cell r="C2">
            <v>282316.61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7032178.090000012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7036633.5000000037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5715820.8999999957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e"/>
      <sheetName val="Default"/>
      <sheetName val="Servicer Recon"/>
    </sheetNames>
    <sheetDataSet>
      <sheetData sheetId="0"/>
      <sheetData sheetId="1"/>
      <sheetData sheetId="2">
        <row r="4">
          <cell r="B4">
            <v>4387</v>
          </cell>
        </row>
        <row r="5">
          <cell r="B5">
            <v>343183216.41000015</v>
          </cell>
        </row>
        <row r="16">
          <cell r="C16">
            <v>94500</v>
          </cell>
        </row>
        <row r="19">
          <cell r="B19">
            <v>228</v>
          </cell>
        </row>
        <row r="20">
          <cell r="B20">
            <v>9069702.0300000031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Table"/>
      <sheetName val="Revised Base Table"/>
    </sheetNames>
    <sheetDataSet>
      <sheetData sheetId="0"/>
      <sheetData sheetId="1">
        <row r="4390">
          <cell r="W4390">
            <v>51.719252312429639</v>
          </cell>
          <cell r="X4390">
            <v>31.625494308828717</v>
          </cell>
          <cell r="AA4390">
            <v>5.6768052315365471</v>
          </cell>
          <cell r="AI4390">
            <v>2.8756254370488909E-2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graphic"/>
      <sheetName val="Collateral"/>
      <sheetName val="Top Industry"/>
      <sheetName val="Residual"/>
      <sheetName val="Balance Distribution"/>
      <sheetName val="Maturity Quarter"/>
      <sheetName val="Seasoning"/>
      <sheetName val="Arrears"/>
      <sheetName val="Obligor"/>
      <sheetName val="Top 5 Obligors"/>
      <sheetName val="Source"/>
      <sheetName val="Refinance Hardship"/>
      <sheetName val="New v Used"/>
      <sheetName val="Loan Type"/>
      <sheetName val="LVR Band"/>
      <sheetName val="Contract Yield"/>
      <sheetName val="Remaining Term"/>
      <sheetName val="Payment Frequency"/>
    </sheetNames>
    <sheetDataSet>
      <sheetData sheetId="0">
        <row r="1">
          <cell r="A1" t="str">
            <v>State</v>
          </cell>
          <cell r="B1" t="str">
            <v>Count</v>
          </cell>
          <cell r="C1" t="str">
            <v>Principal</v>
          </cell>
        </row>
        <row r="2">
          <cell r="A2" t="str">
            <v>ACT</v>
          </cell>
          <cell r="B2">
            <v>7</v>
          </cell>
          <cell r="C2">
            <v>264913.95999999996</v>
          </cell>
        </row>
        <row r="3">
          <cell r="A3" t="str">
            <v>NSW</v>
          </cell>
          <cell r="B3">
            <v>1289</v>
          </cell>
          <cell r="C3">
            <v>104542476.42999999</v>
          </cell>
        </row>
        <row r="4">
          <cell r="A4" t="str">
            <v>NT</v>
          </cell>
          <cell r="B4">
            <v>14</v>
          </cell>
          <cell r="C4">
            <v>572621.44000000018</v>
          </cell>
        </row>
        <row r="5">
          <cell r="A5" t="str">
            <v>QLD</v>
          </cell>
          <cell r="B5">
            <v>665</v>
          </cell>
          <cell r="C5">
            <v>37458339.389999971</v>
          </cell>
        </row>
        <row r="6">
          <cell r="A6" t="str">
            <v>SA</v>
          </cell>
          <cell r="B6">
            <v>790</v>
          </cell>
          <cell r="C6">
            <v>69573675.649999991</v>
          </cell>
        </row>
        <row r="7">
          <cell r="A7" t="str">
            <v>TAS</v>
          </cell>
          <cell r="B7">
            <v>100</v>
          </cell>
          <cell r="C7">
            <v>3693579.3099999996</v>
          </cell>
        </row>
        <row r="8">
          <cell r="A8" t="str">
            <v>VIC</v>
          </cell>
          <cell r="B8">
            <v>897</v>
          </cell>
          <cell r="C8">
            <v>59529710.80999995</v>
          </cell>
        </row>
        <row r="9">
          <cell r="A9" t="str">
            <v>WA</v>
          </cell>
          <cell r="B9">
            <v>625</v>
          </cell>
          <cell r="C9">
            <v>67547899.419999987</v>
          </cell>
        </row>
        <row r="10">
          <cell r="B10">
            <v>4387</v>
          </cell>
          <cell r="C10">
            <v>343183216.40999985</v>
          </cell>
        </row>
      </sheetData>
      <sheetData sheetId="1">
        <row r="1">
          <cell r="A1" t="str">
            <v>Purpose</v>
          </cell>
          <cell r="B1" t="str">
            <v>Count</v>
          </cell>
          <cell r="C1" t="str">
            <v>Principal</v>
          </cell>
        </row>
        <row r="2">
          <cell r="A2" t="str">
            <v>100&lt;140 HP TRACTOR</v>
          </cell>
          <cell r="B2">
            <v>589</v>
          </cell>
          <cell r="C2">
            <v>30067418.989999987</v>
          </cell>
        </row>
        <row r="3">
          <cell r="A3" t="str">
            <v>4 EWD TRACTORS</v>
          </cell>
          <cell r="B3">
            <v>336</v>
          </cell>
          <cell r="C3">
            <v>42749368.290000014</v>
          </cell>
        </row>
        <row r="4">
          <cell r="A4" t="str">
            <v>40&lt;60 HP TRACTOR</v>
          </cell>
          <cell r="B4">
            <v>217</v>
          </cell>
          <cell r="C4">
            <v>3263736.0300000003</v>
          </cell>
        </row>
        <row r="5">
          <cell r="A5" t="str">
            <v>4WD Vehicle</v>
          </cell>
          <cell r="B5">
            <v>2</v>
          </cell>
          <cell r="C5">
            <v>45929.47</v>
          </cell>
        </row>
        <row r="6">
          <cell r="A6" t="str">
            <v>60&lt;100 HP TRACTOR</v>
          </cell>
          <cell r="B6">
            <v>706</v>
          </cell>
          <cell r="C6">
            <v>21338088.419999991</v>
          </cell>
        </row>
        <row r="7">
          <cell r="A7" t="str">
            <v>BACKHOES</v>
          </cell>
          <cell r="B7">
            <v>7</v>
          </cell>
          <cell r="C7">
            <v>282529.24</v>
          </cell>
        </row>
        <row r="8">
          <cell r="A8" t="str">
            <v>BALERS, WINDROWERS, MOWERS, RAKES</v>
          </cell>
          <cell r="B8">
            <v>390</v>
          </cell>
          <cell r="C8">
            <v>12369638.460000001</v>
          </cell>
        </row>
        <row r="9">
          <cell r="A9" t="str">
            <v>COMBINES</v>
          </cell>
          <cell r="B9">
            <v>766</v>
          </cell>
          <cell r="C9">
            <v>130809424.9300002</v>
          </cell>
        </row>
        <row r="10">
          <cell r="A10" t="str">
            <v>COTTON PICKERS</v>
          </cell>
          <cell r="B10">
            <v>2</v>
          </cell>
          <cell r="C10">
            <v>250410.13999999984</v>
          </cell>
        </row>
        <row r="11">
          <cell r="A11" t="str">
            <v>CRAWLERS / DOZERS</v>
          </cell>
          <cell r="B11">
            <v>4</v>
          </cell>
          <cell r="C11">
            <v>544406.25</v>
          </cell>
        </row>
        <row r="12">
          <cell r="A12" t="str">
            <v>CULTIVATORS,SEEDERS, HARROWS</v>
          </cell>
          <cell r="B12">
            <v>124</v>
          </cell>
          <cell r="C12">
            <v>7445552.2399999974</v>
          </cell>
        </row>
        <row r="13">
          <cell r="A13" t="str">
            <v>DRILL</v>
          </cell>
          <cell r="B13">
            <v>7</v>
          </cell>
          <cell r="C13">
            <v>174391.3</v>
          </cell>
        </row>
        <row r="14">
          <cell r="A14" t="str">
            <v>DUMP TRUCKS</v>
          </cell>
          <cell r="B14">
            <v>1</v>
          </cell>
          <cell r="C14">
            <v>235919.65000000011</v>
          </cell>
        </row>
        <row r="15">
          <cell r="A15" t="str">
            <v>EXCAVATORS / GRADERS</v>
          </cell>
          <cell r="B15">
            <v>46</v>
          </cell>
          <cell r="C15">
            <v>3652479.5899999994</v>
          </cell>
        </row>
        <row r="16">
          <cell r="A16" t="str">
            <v>FEEDERS, MIXERS, WAGONS, BINS, FEED STORAGE</v>
          </cell>
          <cell r="B16">
            <v>16</v>
          </cell>
          <cell r="C16">
            <v>664570.41</v>
          </cell>
        </row>
        <row r="17">
          <cell r="A17" t="str">
            <v>FRONT END LOADER</v>
          </cell>
          <cell r="B17">
            <v>7</v>
          </cell>
          <cell r="C17">
            <v>136792.53000000003</v>
          </cell>
        </row>
        <row r="18">
          <cell r="A18" t="str">
            <v>FRONTS</v>
          </cell>
          <cell r="B18">
            <v>73</v>
          </cell>
          <cell r="C18">
            <v>2351744.58</v>
          </cell>
        </row>
        <row r="19">
          <cell r="A19" t="str">
            <v>GUIDANCE SYSTEMS</v>
          </cell>
          <cell r="B19">
            <v>28</v>
          </cell>
          <cell r="C19">
            <v>475677.1100000001</v>
          </cell>
        </row>
        <row r="20">
          <cell r="A20" t="str">
            <v>HARVESTERS - Other</v>
          </cell>
          <cell r="B20">
            <v>22</v>
          </cell>
          <cell r="C20">
            <v>2575120.59</v>
          </cell>
        </row>
        <row r="21">
          <cell r="A21" t="str">
            <v>IRRIGATION EQUIPMENT</v>
          </cell>
          <cell r="B21">
            <v>3</v>
          </cell>
          <cell r="C21">
            <v>348933.66</v>
          </cell>
        </row>
        <row r="22">
          <cell r="A22" t="str">
            <v>MATERIALS HANDLING EQUIPMENT</v>
          </cell>
          <cell r="B22">
            <v>8</v>
          </cell>
          <cell r="C22">
            <v>419535.31</v>
          </cell>
        </row>
        <row r="23">
          <cell r="A23" t="str">
            <v>OTHER AG</v>
          </cell>
          <cell r="B23">
            <v>53</v>
          </cell>
          <cell r="C23">
            <v>2246279.2499999995</v>
          </cell>
        </row>
        <row r="24">
          <cell r="A24" t="str">
            <v>OTHER CE</v>
          </cell>
          <cell r="B24">
            <v>8</v>
          </cell>
          <cell r="C24">
            <v>881427.24</v>
          </cell>
        </row>
        <row r="25">
          <cell r="A25" t="str">
            <v>OVER 140 HP TRACTOR</v>
          </cell>
          <cell r="B25">
            <v>744</v>
          </cell>
          <cell r="C25">
            <v>66025441.539999962</v>
          </cell>
        </row>
        <row r="26">
          <cell r="A26" t="str">
            <v>ROLLERS</v>
          </cell>
          <cell r="B26">
            <v>1</v>
          </cell>
          <cell r="C26">
            <v>12393.529999999999</v>
          </cell>
        </row>
        <row r="27">
          <cell r="A27" t="str">
            <v>SCRAPERS</v>
          </cell>
          <cell r="B27">
            <v>3</v>
          </cell>
          <cell r="C27">
            <v>368894.00999999989</v>
          </cell>
        </row>
        <row r="28">
          <cell r="A28" t="str">
            <v>SKIDSTEER / UNILOADER</v>
          </cell>
          <cell r="B28">
            <v>25</v>
          </cell>
          <cell r="C28">
            <v>580476.03000000014</v>
          </cell>
        </row>
        <row r="29">
          <cell r="A29" t="str">
            <v>SPRAYING EQUIPMENT</v>
          </cell>
          <cell r="B29">
            <v>103</v>
          </cell>
          <cell r="C29">
            <v>11503055.140000002</v>
          </cell>
        </row>
        <row r="30">
          <cell r="A30" t="str">
            <v>TRENCHERS</v>
          </cell>
          <cell r="B30">
            <v>1</v>
          </cell>
          <cell r="C30">
            <v>32239.010000000009</v>
          </cell>
        </row>
        <row r="31">
          <cell r="A31" t="str">
            <v>TRUCK - on Farm</v>
          </cell>
          <cell r="B31">
            <v>1</v>
          </cell>
          <cell r="C31">
            <v>39719.020000000004</v>
          </cell>
        </row>
        <row r="32">
          <cell r="A32" t="str">
            <v>UNDER 40 HP TRACTORS</v>
          </cell>
          <cell r="B32">
            <v>90</v>
          </cell>
          <cell r="C32">
            <v>1151312.7000000004</v>
          </cell>
        </row>
        <row r="33">
          <cell r="A33" t="str">
            <v>WHEEL LOADERS</v>
          </cell>
          <cell r="B33">
            <v>4</v>
          </cell>
          <cell r="C33">
            <v>140311.74999999997</v>
          </cell>
        </row>
        <row r="34">
          <cell r="B34">
            <v>4387</v>
          </cell>
          <cell r="C34">
            <v>343183216.41000003</v>
          </cell>
        </row>
      </sheetData>
      <sheetData sheetId="2">
        <row r="1">
          <cell r="A1" t="str">
            <v>AG v CE</v>
          </cell>
          <cell r="B1" t="str">
            <v>Count</v>
          </cell>
          <cell r="C1" t="str">
            <v>Principal</v>
          </cell>
        </row>
        <row r="2">
          <cell r="A2" t="str">
            <v>AGRICULTURAL MACHINERY</v>
          </cell>
          <cell r="B2">
            <v>4279</v>
          </cell>
          <cell r="C2">
            <v>336032604.80000001</v>
          </cell>
        </row>
        <row r="3">
          <cell r="A3" t="str">
            <v>CONSTRUCTION EQUIPMENT</v>
          </cell>
          <cell r="B3">
            <v>108</v>
          </cell>
          <cell r="C3">
            <v>7150611.6099999985</v>
          </cell>
        </row>
        <row r="4">
          <cell r="B4">
            <v>4387</v>
          </cell>
          <cell r="C4">
            <v>343183216.41000003</v>
          </cell>
        </row>
      </sheetData>
      <sheetData sheetId="3">
        <row r="1">
          <cell r="A1" t="str">
            <v>RF% Range</v>
          </cell>
          <cell r="B1" t="str">
            <v>Count</v>
          </cell>
          <cell r="C1" t="str">
            <v>Principal</v>
          </cell>
        </row>
        <row r="2">
          <cell r="A2" t="str">
            <v>0</v>
          </cell>
          <cell r="B2">
            <v>4132</v>
          </cell>
          <cell r="C2">
            <v>308787431.32999998</v>
          </cell>
        </row>
        <row r="3">
          <cell r="A3" t="str">
            <v>11 to 15</v>
          </cell>
          <cell r="B3">
            <v>16</v>
          </cell>
          <cell r="C3">
            <v>2226073.5700000003</v>
          </cell>
        </row>
        <row r="4">
          <cell r="A4" t="str">
            <v>16 to 20</v>
          </cell>
          <cell r="B4">
            <v>37</v>
          </cell>
          <cell r="C4">
            <v>3925054.41</v>
          </cell>
        </row>
        <row r="5">
          <cell r="A5" t="str">
            <v>21 to 25</v>
          </cell>
          <cell r="B5">
            <v>45</v>
          </cell>
          <cell r="C5">
            <v>5319307.2100000009</v>
          </cell>
        </row>
        <row r="6">
          <cell r="A6" t="str">
            <v>26 to 30</v>
          </cell>
          <cell r="B6">
            <v>84</v>
          </cell>
          <cell r="C6">
            <v>13503707.779999997</v>
          </cell>
        </row>
        <row r="7">
          <cell r="A7" t="str">
            <v>31 to 35</v>
          </cell>
          <cell r="B7">
            <v>23</v>
          </cell>
          <cell r="C7">
            <v>2982617.0599999996</v>
          </cell>
        </row>
        <row r="8">
          <cell r="A8" t="str">
            <v>36 to 40</v>
          </cell>
          <cell r="B8">
            <v>19</v>
          </cell>
          <cell r="C8">
            <v>3087383.9099999997</v>
          </cell>
        </row>
        <row r="9">
          <cell r="A9" t="str">
            <v>41+ %</v>
          </cell>
          <cell r="B9">
            <v>20</v>
          </cell>
          <cell r="C9">
            <v>2812186.7899999996</v>
          </cell>
        </row>
        <row r="10">
          <cell r="A10" t="str">
            <v>6 to 10</v>
          </cell>
          <cell r="B10">
            <v>11</v>
          </cell>
          <cell r="C10">
            <v>539454.34999999986</v>
          </cell>
        </row>
        <row r="11">
          <cell r="B11">
            <v>4387</v>
          </cell>
          <cell r="C11">
            <v>343183216.41000003</v>
          </cell>
        </row>
      </sheetData>
      <sheetData sheetId="4">
        <row r="1">
          <cell r="A1" t="str">
            <v>Balance Distribution</v>
          </cell>
          <cell r="B1" t="str">
            <v>Count</v>
          </cell>
          <cell r="C1" t="str">
            <v>Principal</v>
          </cell>
        </row>
        <row r="2">
          <cell r="A2" t="str">
            <v>$0 - $25,000</v>
          </cell>
          <cell r="B2">
            <v>1245</v>
          </cell>
          <cell r="C2">
            <v>18802078.569999997</v>
          </cell>
        </row>
        <row r="3">
          <cell r="A3" t="str">
            <v>$100,001 - $125,000</v>
          </cell>
          <cell r="B3">
            <v>278</v>
          </cell>
          <cell r="C3">
            <v>31162494.000000019</v>
          </cell>
        </row>
        <row r="4">
          <cell r="A4" t="str">
            <v>$125,001 - $150,000</v>
          </cell>
          <cell r="B4">
            <v>225</v>
          </cell>
          <cell r="C4">
            <v>30767767.470000003</v>
          </cell>
        </row>
        <row r="5">
          <cell r="A5" t="str">
            <v>$150,001 - $200,000</v>
          </cell>
          <cell r="B5">
            <v>331</v>
          </cell>
          <cell r="C5">
            <v>57407498.020000003</v>
          </cell>
        </row>
        <row r="6">
          <cell r="A6" t="str">
            <v>$200,001 - $300,000</v>
          </cell>
          <cell r="B6">
            <v>330</v>
          </cell>
          <cell r="C6">
            <v>79664671.449999973</v>
          </cell>
        </row>
        <row r="7">
          <cell r="A7" t="str">
            <v>$25,001 - $50,000</v>
          </cell>
          <cell r="B7">
            <v>1008</v>
          </cell>
          <cell r="C7">
            <v>36548463.800000004</v>
          </cell>
        </row>
        <row r="8">
          <cell r="A8" t="str">
            <v>$300,001 - $400,000</v>
          </cell>
          <cell r="B8">
            <v>32</v>
          </cell>
          <cell r="C8">
            <v>10238242.969999999</v>
          </cell>
        </row>
        <row r="9">
          <cell r="A9" t="str">
            <v>$400,001 - $500,000</v>
          </cell>
          <cell r="B9">
            <v>5</v>
          </cell>
          <cell r="C9">
            <v>2182885.21</v>
          </cell>
        </row>
        <row r="10">
          <cell r="A10" t="str">
            <v>$50,001 - $75,000</v>
          </cell>
          <cell r="B10">
            <v>556</v>
          </cell>
          <cell r="C10">
            <v>34132139.580000013</v>
          </cell>
        </row>
        <row r="11">
          <cell r="A11" t="str">
            <v>$500,001+</v>
          </cell>
          <cell r="B11">
            <v>14</v>
          </cell>
          <cell r="C11">
            <v>10850454.52</v>
          </cell>
        </row>
        <row r="12">
          <cell r="A12" t="str">
            <v>$75,001 - $100,000</v>
          </cell>
          <cell r="B12">
            <v>363</v>
          </cell>
          <cell r="C12">
            <v>31426520.819999993</v>
          </cell>
        </row>
        <row r="13">
          <cell r="B13">
            <v>4387</v>
          </cell>
          <cell r="C13">
            <v>343183216.41000003</v>
          </cell>
        </row>
      </sheetData>
      <sheetData sheetId="5">
        <row r="1">
          <cell r="A1" t="str">
            <v>Loan Maturity Qtr/Year</v>
          </cell>
          <cell r="B1" t="str">
            <v>Count</v>
          </cell>
          <cell r="C1" t="str">
            <v>Principal</v>
          </cell>
        </row>
        <row r="2">
          <cell r="A2" t="str">
            <v>Q12014</v>
          </cell>
          <cell r="B2">
            <v>141</v>
          </cell>
          <cell r="C2">
            <v>4282494</v>
          </cell>
        </row>
        <row r="3">
          <cell r="A3" t="str">
            <v>Q12015</v>
          </cell>
          <cell r="B3">
            <v>335</v>
          </cell>
          <cell r="C3">
            <v>19367556.099999994</v>
          </cell>
        </row>
        <row r="4">
          <cell r="A4" t="str">
            <v>Q12016</v>
          </cell>
          <cell r="B4">
            <v>590</v>
          </cell>
          <cell r="C4">
            <v>56766868.859999999</v>
          </cell>
        </row>
        <row r="5">
          <cell r="A5" t="str">
            <v>Q12017</v>
          </cell>
          <cell r="B5">
            <v>537</v>
          </cell>
          <cell r="C5">
            <v>74409239.170000002</v>
          </cell>
        </row>
        <row r="6">
          <cell r="A6" t="str">
            <v>Q12018</v>
          </cell>
          <cell r="B6">
            <v>128</v>
          </cell>
          <cell r="C6">
            <v>16083973.780000001</v>
          </cell>
        </row>
        <row r="7">
          <cell r="A7" t="str">
            <v>Q22014</v>
          </cell>
          <cell r="B7">
            <v>86</v>
          </cell>
          <cell r="C7">
            <v>2541945.8300000005</v>
          </cell>
        </row>
        <row r="8">
          <cell r="A8" t="str">
            <v>Q22015</v>
          </cell>
          <cell r="B8">
            <v>355</v>
          </cell>
          <cell r="C8">
            <v>12687212.260000007</v>
          </cell>
        </row>
        <row r="9">
          <cell r="A9" t="str">
            <v>Q22016</v>
          </cell>
          <cell r="B9">
            <v>220</v>
          </cell>
          <cell r="C9">
            <v>19513261.289999992</v>
          </cell>
        </row>
        <row r="10">
          <cell r="A10" t="str">
            <v>Q22017</v>
          </cell>
          <cell r="B10">
            <v>272</v>
          </cell>
          <cell r="C10">
            <v>34430280.019999996</v>
          </cell>
        </row>
        <row r="11">
          <cell r="A11" t="str">
            <v>Q22018</v>
          </cell>
          <cell r="B11">
            <v>29</v>
          </cell>
          <cell r="C11">
            <v>3020354.44</v>
          </cell>
        </row>
        <row r="12">
          <cell r="A12" t="str">
            <v>Q32014</v>
          </cell>
          <cell r="B12">
            <v>117</v>
          </cell>
          <cell r="C12">
            <v>2338695.6500000008</v>
          </cell>
        </row>
        <row r="13">
          <cell r="A13" t="str">
            <v>Q32015</v>
          </cell>
          <cell r="B13">
            <v>295</v>
          </cell>
          <cell r="C13">
            <v>13322717.899999989</v>
          </cell>
        </row>
        <row r="14">
          <cell r="A14" t="str">
            <v>Q32016</v>
          </cell>
          <cell r="B14">
            <v>238</v>
          </cell>
          <cell r="C14">
            <v>18780509.90000001</v>
          </cell>
        </row>
        <row r="15">
          <cell r="A15" t="str">
            <v>Q32017</v>
          </cell>
          <cell r="B15">
            <v>116</v>
          </cell>
          <cell r="C15">
            <v>12900084.370000005</v>
          </cell>
        </row>
        <row r="16">
          <cell r="A16" t="str">
            <v>Q32018</v>
          </cell>
          <cell r="B16">
            <v>2</v>
          </cell>
          <cell r="C16">
            <v>488119.75</v>
          </cell>
        </row>
        <row r="17">
          <cell r="A17" t="str">
            <v>Q42013</v>
          </cell>
          <cell r="B17">
            <v>8</v>
          </cell>
          <cell r="C17">
            <v>340718.60999999987</v>
          </cell>
        </row>
        <row r="18">
          <cell r="A18" t="str">
            <v>Q42014</v>
          </cell>
          <cell r="B18">
            <v>164</v>
          </cell>
          <cell r="C18">
            <v>3345999.73</v>
          </cell>
        </row>
        <row r="19">
          <cell r="A19" t="str">
            <v>Q42015</v>
          </cell>
          <cell r="B19">
            <v>391</v>
          </cell>
          <cell r="C19">
            <v>18048033.09</v>
          </cell>
        </row>
        <row r="20">
          <cell r="A20" t="str">
            <v>Q42016</v>
          </cell>
          <cell r="B20">
            <v>245</v>
          </cell>
          <cell r="C20">
            <v>18720218.190000005</v>
          </cell>
        </row>
        <row r="21">
          <cell r="A21" t="str">
            <v>Q42017</v>
          </cell>
          <cell r="B21">
            <v>117</v>
          </cell>
          <cell r="C21">
            <v>11770328.489999998</v>
          </cell>
        </row>
        <row r="22">
          <cell r="A22" t="str">
            <v>Q42018</v>
          </cell>
          <cell r="B22">
            <v>1</v>
          </cell>
          <cell r="C22">
            <v>24604.979999999996</v>
          </cell>
        </row>
        <row r="23">
          <cell r="B23">
            <v>4387</v>
          </cell>
          <cell r="C23">
            <v>343183216.41000003</v>
          </cell>
        </row>
      </sheetData>
      <sheetData sheetId="6">
        <row r="1">
          <cell r="A1" t="str">
            <v>Month on Books</v>
          </cell>
          <cell r="B1" t="str">
            <v>Count</v>
          </cell>
          <cell r="C1" t="str">
            <v>Principal</v>
          </cell>
        </row>
        <row r="2">
          <cell r="A2" t="str">
            <v>07 to 12 months</v>
          </cell>
          <cell r="B2">
            <v>479</v>
          </cell>
          <cell r="C2">
            <v>40669566.159999982</v>
          </cell>
        </row>
        <row r="3">
          <cell r="A3" t="str">
            <v>13 to 18 months</v>
          </cell>
          <cell r="B3">
            <v>1303</v>
          </cell>
          <cell r="C3">
            <v>118173049.53999995</v>
          </cell>
        </row>
        <row r="4">
          <cell r="A4" t="str">
            <v>19 to 24 months</v>
          </cell>
          <cell r="B4">
            <v>961</v>
          </cell>
          <cell r="C4">
            <v>69324130.14000006</v>
          </cell>
        </row>
        <row r="5">
          <cell r="A5" t="str">
            <v>25 to 30 months</v>
          </cell>
          <cell r="B5">
            <v>1092</v>
          </cell>
          <cell r="C5">
            <v>84962860.120000005</v>
          </cell>
        </row>
        <row r="6">
          <cell r="A6" t="str">
            <v>31 to 36 months</v>
          </cell>
          <cell r="B6">
            <v>193</v>
          </cell>
          <cell r="C6">
            <v>12306334.83</v>
          </cell>
        </row>
        <row r="7">
          <cell r="A7" t="str">
            <v>37 to 42 months</v>
          </cell>
          <cell r="B7">
            <v>161</v>
          </cell>
          <cell r="C7">
            <v>10834350.569999993</v>
          </cell>
        </row>
        <row r="8">
          <cell r="A8" t="str">
            <v>43 to 48 months</v>
          </cell>
          <cell r="B8">
            <v>113</v>
          </cell>
          <cell r="C8">
            <v>4704914.7999999989</v>
          </cell>
        </row>
        <row r="9">
          <cell r="A9" t="str">
            <v>49 to 54 months</v>
          </cell>
          <cell r="B9">
            <v>22</v>
          </cell>
          <cell r="C9">
            <v>816598.99</v>
          </cell>
        </row>
        <row r="10">
          <cell r="A10" t="str">
            <v>55 to 60 months</v>
          </cell>
          <cell r="B10">
            <v>54</v>
          </cell>
          <cell r="C10">
            <v>1196323.8899999997</v>
          </cell>
        </row>
        <row r="11">
          <cell r="A11" t="str">
            <v>60+ months</v>
          </cell>
          <cell r="B11">
            <v>9</v>
          </cell>
          <cell r="C11">
            <v>195087.36999999997</v>
          </cell>
        </row>
        <row r="12">
          <cell r="B12">
            <v>4387</v>
          </cell>
          <cell r="C12">
            <v>343183216.40999997</v>
          </cell>
        </row>
      </sheetData>
      <sheetData sheetId="7">
        <row r="1">
          <cell r="A1" t="str">
            <v>Arrears Buckets</v>
          </cell>
          <cell r="B1" t="str">
            <v>Arrears</v>
          </cell>
          <cell r="C1" t="str">
            <v>Count</v>
          </cell>
          <cell r="D1" t="str">
            <v>Principal</v>
          </cell>
        </row>
        <row r="2">
          <cell r="A2" t="str">
            <v>1. 0 - 30 Days</v>
          </cell>
          <cell r="B2">
            <v>439735.71</v>
          </cell>
          <cell r="C2">
            <v>4375</v>
          </cell>
          <cell r="D2">
            <v>342575641.11000001</v>
          </cell>
        </row>
        <row r="3">
          <cell r="A3" t="str">
            <v>2. 31 - 60 Days</v>
          </cell>
          <cell r="B3">
            <v>47270.050000000017</v>
          </cell>
          <cell r="C3">
            <v>7</v>
          </cell>
          <cell r="D3">
            <v>207562.01</v>
          </cell>
        </row>
        <row r="4">
          <cell r="A4" t="str">
            <v>3. 61 - 90 Days</v>
          </cell>
          <cell r="B4">
            <v>79546.5</v>
          </cell>
          <cell r="C4">
            <v>5</v>
          </cell>
          <cell r="D4">
            <v>400013.29000000004</v>
          </cell>
        </row>
        <row r="5">
          <cell r="B5">
            <v>566552.26</v>
          </cell>
          <cell r="C5">
            <v>4387</v>
          </cell>
          <cell r="D5">
            <v>343183216.41000003</v>
          </cell>
        </row>
      </sheetData>
      <sheetData sheetId="8"/>
      <sheetData sheetId="9">
        <row r="2">
          <cell r="E2">
            <v>2263404.8400000003</v>
          </cell>
        </row>
        <row r="3">
          <cell r="E3">
            <v>1598081.23</v>
          </cell>
        </row>
        <row r="4">
          <cell r="E4">
            <v>1306802.8500000001</v>
          </cell>
        </row>
        <row r="5">
          <cell r="E5">
            <v>1097278</v>
          </cell>
        </row>
        <row r="6">
          <cell r="E6">
            <v>1082420.48</v>
          </cell>
        </row>
      </sheetData>
      <sheetData sheetId="10">
        <row r="1">
          <cell r="A1" t="str">
            <v>Source</v>
          </cell>
          <cell r="B1" t="str">
            <v>Count</v>
          </cell>
          <cell r="C1" t="str">
            <v>Principal</v>
          </cell>
        </row>
        <row r="2">
          <cell r="A2" t="str">
            <v>Ag Sales and Rental</v>
          </cell>
          <cell r="B2">
            <v>38</v>
          </cell>
          <cell r="C2">
            <v>2021322.0599999996</v>
          </cell>
        </row>
        <row r="3">
          <cell r="A3" t="str">
            <v>Agnorth</v>
          </cell>
          <cell r="B3">
            <v>10</v>
          </cell>
          <cell r="C3">
            <v>485759.75</v>
          </cell>
        </row>
        <row r="4">
          <cell r="A4" t="str">
            <v>Agpower &amp; Transport</v>
          </cell>
          <cell r="B4">
            <v>13</v>
          </cell>
          <cell r="C4">
            <v>299940.98</v>
          </cell>
        </row>
        <row r="5">
          <cell r="A5" t="str">
            <v>Agricultural Requirements</v>
          </cell>
          <cell r="B5">
            <v>28</v>
          </cell>
          <cell r="C5">
            <v>1012617.0799999998</v>
          </cell>
        </row>
        <row r="6">
          <cell r="A6" t="str">
            <v>Agrimac Ballarat</v>
          </cell>
          <cell r="B6">
            <v>33</v>
          </cell>
          <cell r="C6">
            <v>2485683.3199999998</v>
          </cell>
        </row>
        <row r="7">
          <cell r="A7" t="str">
            <v>Agrimac St Arnaud</v>
          </cell>
          <cell r="B7">
            <v>11</v>
          </cell>
          <cell r="C7">
            <v>1368800.6600000001</v>
          </cell>
        </row>
        <row r="8">
          <cell r="A8" t="str">
            <v>Agrimac Warrnambool</v>
          </cell>
          <cell r="B8">
            <v>24</v>
          </cell>
          <cell r="C8">
            <v>777754.23</v>
          </cell>
        </row>
        <row r="9">
          <cell r="A9" t="str">
            <v>Ainsworth Motors - Chinchilla</v>
          </cell>
          <cell r="B9">
            <v>24</v>
          </cell>
          <cell r="C9">
            <v>1257383.5699999998</v>
          </cell>
        </row>
        <row r="10">
          <cell r="A10" t="str">
            <v>Alto Motors - Trafalgar</v>
          </cell>
          <cell r="B10">
            <v>34</v>
          </cell>
          <cell r="C10">
            <v>803627.89000000013</v>
          </cell>
        </row>
        <row r="11">
          <cell r="A11" t="str">
            <v>AW Vater &amp; Co - Kadina</v>
          </cell>
          <cell r="B11">
            <v>28</v>
          </cell>
          <cell r="C11">
            <v>3190211.7700000005</v>
          </cell>
        </row>
        <row r="12">
          <cell r="A12" t="str">
            <v>AW Vater &amp; Co - Saddleworth</v>
          </cell>
          <cell r="B12">
            <v>27</v>
          </cell>
          <cell r="C12">
            <v>2521526.58</v>
          </cell>
        </row>
        <row r="13">
          <cell r="A13" t="str">
            <v>Ballarat Tractors &amp; Cons Equip</v>
          </cell>
          <cell r="B13">
            <v>38</v>
          </cell>
          <cell r="C13">
            <v>1909979.9300000002</v>
          </cell>
        </row>
        <row r="14">
          <cell r="A14" t="str">
            <v>Barberie Machinery (CIH)</v>
          </cell>
          <cell r="B14">
            <v>1</v>
          </cell>
          <cell r="C14">
            <v>13935.749999999993</v>
          </cell>
        </row>
        <row r="15">
          <cell r="A15" t="str">
            <v>Barberie Machinery (NH)</v>
          </cell>
          <cell r="B15">
            <v>2</v>
          </cell>
          <cell r="C15">
            <v>19909.979999999996</v>
          </cell>
        </row>
        <row r="16">
          <cell r="A16" t="str">
            <v>Baxters Rural Centre</v>
          </cell>
          <cell r="B16">
            <v>12</v>
          </cell>
          <cell r="C16">
            <v>1790179.9699999997</v>
          </cell>
        </row>
        <row r="17">
          <cell r="A17" t="str">
            <v>Bega Truck &amp; Tractor</v>
          </cell>
          <cell r="B17">
            <v>1</v>
          </cell>
          <cell r="C17">
            <v>15298.64</v>
          </cell>
        </row>
        <row r="18">
          <cell r="A18" t="str">
            <v>BFG - AG &amp; CE</v>
          </cell>
          <cell r="B18">
            <v>11</v>
          </cell>
          <cell r="C18">
            <v>1714319.81</v>
          </cell>
        </row>
        <row r="19">
          <cell r="A19" t="str">
            <v>BFG - Transport</v>
          </cell>
          <cell r="B19">
            <v>1</v>
          </cell>
          <cell r="C19">
            <v>13587.770000000002</v>
          </cell>
        </row>
        <row r="20">
          <cell r="A20" t="str">
            <v>Billabong Motors - Lockhart</v>
          </cell>
          <cell r="B20">
            <v>3</v>
          </cell>
          <cell r="C20">
            <v>394593.57999999996</v>
          </cell>
        </row>
        <row r="21">
          <cell r="A21" t="str">
            <v>Black-Trac Archerfield</v>
          </cell>
          <cell r="B21">
            <v>14</v>
          </cell>
          <cell r="C21">
            <v>212666.02</v>
          </cell>
        </row>
        <row r="22">
          <cell r="A22" t="str">
            <v>Black-Trac Caboolture</v>
          </cell>
          <cell r="B22">
            <v>2</v>
          </cell>
          <cell r="C22">
            <v>84970.23</v>
          </cell>
        </row>
        <row r="23">
          <cell r="A23" t="str">
            <v>Black Truck &amp; AG Goondiwindi</v>
          </cell>
          <cell r="B23">
            <v>12</v>
          </cell>
          <cell r="C23">
            <v>2810134.6199999996</v>
          </cell>
        </row>
        <row r="24">
          <cell r="A24" t="str">
            <v>BMS Adelaide</v>
          </cell>
          <cell r="B24">
            <v>1</v>
          </cell>
          <cell r="C24">
            <v>1106.9199999999983</v>
          </cell>
        </row>
        <row r="25">
          <cell r="A25" t="str">
            <v>BMS AG &amp; Construction - Tanunda</v>
          </cell>
          <cell r="B25">
            <v>16</v>
          </cell>
          <cell r="C25">
            <v>1987689.9099999997</v>
          </cell>
        </row>
        <row r="26">
          <cell r="A26" t="str">
            <v>Boekeman Machinery (Dalwallinu)</v>
          </cell>
          <cell r="B26">
            <v>14</v>
          </cell>
          <cell r="C26">
            <v>1762279.0500000003</v>
          </cell>
        </row>
        <row r="27">
          <cell r="A27" t="str">
            <v>Boekeman Machinery (Dowerin)</v>
          </cell>
          <cell r="B27">
            <v>4</v>
          </cell>
          <cell r="C27">
            <v>628020.30999999994</v>
          </cell>
        </row>
        <row r="28">
          <cell r="A28" t="str">
            <v>Boekeman Machinery (Northam)</v>
          </cell>
          <cell r="B28">
            <v>13</v>
          </cell>
          <cell r="C28">
            <v>1541209.8499999996</v>
          </cell>
        </row>
        <row r="29">
          <cell r="A29" t="str">
            <v>Boekeman Machinery (Wongan Hills)</v>
          </cell>
          <cell r="B29">
            <v>17</v>
          </cell>
          <cell r="C29">
            <v>1520198.9699999997</v>
          </cell>
        </row>
        <row r="30">
          <cell r="A30" t="str">
            <v>Booleroo Agencies - Booleroo</v>
          </cell>
          <cell r="B30">
            <v>1</v>
          </cell>
          <cell r="C30">
            <v>14387.939999999995</v>
          </cell>
        </row>
        <row r="31">
          <cell r="A31" t="str">
            <v>Brescianini Motors - Ingham</v>
          </cell>
          <cell r="B31">
            <v>16</v>
          </cell>
          <cell r="C31">
            <v>849797.39999999991</v>
          </cell>
        </row>
        <row r="32">
          <cell r="A32" t="str">
            <v>Burnett Land &amp; Mach-Bundaberg</v>
          </cell>
          <cell r="B32">
            <v>23</v>
          </cell>
          <cell r="C32">
            <v>1163884.69</v>
          </cell>
        </row>
        <row r="33">
          <cell r="A33" t="str">
            <v>Busselton Mach - Busselton</v>
          </cell>
          <cell r="B33">
            <v>7</v>
          </cell>
          <cell r="C33">
            <v>317179.48</v>
          </cell>
        </row>
        <row r="34">
          <cell r="A34" t="str">
            <v>Carlisle Tractors - Mackay</v>
          </cell>
          <cell r="B34">
            <v>59</v>
          </cell>
          <cell r="C34">
            <v>2174773.0500000003</v>
          </cell>
        </row>
        <row r="35">
          <cell r="A35" t="str">
            <v>Carmac (NT)</v>
          </cell>
          <cell r="B35">
            <v>12</v>
          </cell>
          <cell r="C35">
            <v>385423.90999999992</v>
          </cell>
        </row>
        <row r="36">
          <cell r="A36" t="str">
            <v>Carruthers Machinery</v>
          </cell>
          <cell r="B36">
            <v>62</v>
          </cell>
          <cell r="C36">
            <v>9653055.5800000001</v>
          </cell>
        </row>
        <row r="37">
          <cell r="A37" t="str">
            <v>Carruthers Machinery Cowra</v>
          </cell>
          <cell r="B37">
            <v>29</v>
          </cell>
          <cell r="C37">
            <v>1689517.44</v>
          </cell>
        </row>
        <row r="38">
          <cell r="A38" t="str">
            <v>Chapman &amp; Slattery Mach Sales</v>
          </cell>
          <cell r="B38">
            <v>4</v>
          </cell>
          <cell r="C38">
            <v>153302.32999999999</v>
          </cell>
        </row>
        <row r="39">
          <cell r="A39" t="str">
            <v>Cobram Rural</v>
          </cell>
          <cell r="B39">
            <v>22</v>
          </cell>
          <cell r="C39">
            <v>837876.94999999972</v>
          </cell>
        </row>
        <row r="40">
          <cell r="A40" t="str">
            <v>Codemo Machinery Services</v>
          </cell>
          <cell r="B40">
            <v>31</v>
          </cell>
          <cell r="C40">
            <v>3323389.36</v>
          </cell>
        </row>
        <row r="41">
          <cell r="A41" t="str">
            <v>Coote Motors - Brookton</v>
          </cell>
          <cell r="B41">
            <v>9</v>
          </cell>
          <cell r="C41">
            <v>534899.96</v>
          </cell>
        </row>
        <row r="42">
          <cell r="A42" t="str">
            <v>Cornish's (Condobolin)</v>
          </cell>
          <cell r="B42">
            <v>19</v>
          </cell>
          <cell r="C42">
            <v>1688832.94</v>
          </cell>
        </row>
        <row r="43">
          <cell r="A43" t="str">
            <v>Cornish's (group)</v>
          </cell>
          <cell r="B43">
            <v>10</v>
          </cell>
          <cell r="C43">
            <v>428075.76999999996</v>
          </cell>
        </row>
        <row r="44">
          <cell r="A44" t="str">
            <v>Cornish's (Gunnedah)</v>
          </cell>
          <cell r="B44">
            <v>22</v>
          </cell>
          <cell r="C44">
            <v>1936469.8500000006</v>
          </cell>
        </row>
        <row r="45">
          <cell r="A45" t="str">
            <v>Cornish's (Narromine)</v>
          </cell>
          <cell r="B45">
            <v>11</v>
          </cell>
          <cell r="C45">
            <v>1181094.7599999998</v>
          </cell>
        </row>
        <row r="46">
          <cell r="A46" t="str">
            <v>Cornish's (Parkes)</v>
          </cell>
          <cell r="B46">
            <v>18</v>
          </cell>
          <cell r="C46">
            <v>2090948.27</v>
          </cell>
        </row>
        <row r="47">
          <cell r="A47" t="str">
            <v>Cornish's (Quirindi)</v>
          </cell>
          <cell r="B47">
            <v>7</v>
          </cell>
          <cell r="C47">
            <v>450607.97999999986</v>
          </cell>
        </row>
        <row r="48">
          <cell r="A48" t="str">
            <v>Cornish's T/as Millers Mach</v>
          </cell>
          <cell r="B48">
            <v>9</v>
          </cell>
          <cell r="C48">
            <v>933496.57000000007</v>
          </cell>
        </row>
        <row r="49">
          <cell r="A49" t="str">
            <v>Cowra Machinery Centre</v>
          </cell>
          <cell r="B49">
            <v>39</v>
          </cell>
          <cell r="C49">
            <v>1105020.04</v>
          </cell>
        </row>
        <row r="50">
          <cell r="A50" t="str">
            <v>Crossbred Nom T/ Geoff Perkins</v>
          </cell>
          <cell r="B50">
            <v>22</v>
          </cell>
          <cell r="C50">
            <v>2065633.43</v>
          </cell>
        </row>
        <row r="51">
          <cell r="A51" t="str">
            <v>CSA Capital</v>
          </cell>
          <cell r="B51">
            <v>6</v>
          </cell>
          <cell r="C51">
            <v>657532.18999999994</v>
          </cell>
        </row>
        <row r="52">
          <cell r="A52" t="str">
            <v>Cunninghams Ag - Moora</v>
          </cell>
          <cell r="B52">
            <v>36</v>
          </cell>
          <cell r="C52">
            <v>5501972.7500000019</v>
          </cell>
        </row>
        <row r="53">
          <cell r="A53" t="str">
            <v>Cunninghams Ag Three Springs</v>
          </cell>
          <cell r="B53">
            <v>19</v>
          </cell>
          <cell r="C53">
            <v>3215989.0899999994</v>
          </cell>
        </row>
        <row r="54">
          <cell r="A54" t="str">
            <v>Curtis's - Cummins</v>
          </cell>
          <cell r="B54">
            <v>8</v>
          </cell>
          <cell r="C54">
            <v>664787.89000000013</v>
          </cell>
        </row>
        <row r="55">
          <cell r="A55" t="str">
            <v>Curtis's - Tumby Bay</v>
          </cell>
          <cell r="B55">
            <v>15</v>
          </cell>
          <cell r="C55">
            <v>1405256.03</v>
          </cell>
        </row>
        <row r="56">
          <cell r="A56" t="str">
            <v>Daryl Coxon Financial Services</v>
          </cell>
          <cell r="B56">
            <v>1</v>
          </cell>
          <cell r="C56">
            <v>172544.51</v>
          </cell>
        </row>
        <row r="57">
          <cell r="A57" t="str">
            <v>David Evans Group - Archerfield</v>
          </cell>
          <cell r="B57">
            <v>1</v>
          </cell>
          <cell r="C57">
            <v>9867.1200000000008</v>
          </cell>
        </row>
        <row r="58">
          <cell r="A58" t="str">
            <v>David Evans Group - Biloela (NH)</v>
          </cell>
          <cell r="B58">
            <v>13</v>
          </cell>
          <cell r="C58">
            <v>409852.33000000007</v>
          </cell>
        </row>
        <row r="59">
          <cell r="A59" t="str">
            <v>David Evans Group - Biloela CIH</v>
          </cell>
          <cell r="B59">
            <v>3</v>
          </cell>
          <cell r="C59">
            <v>193261.63</v>
          </cell>
        </row>
        <row r="60">
          <cell r="A60" t="str">
            <v>David Evans Group - Boonah</v>
          </cell>
          <cell r="B60">
            <v>9</v>
          </cell>
          <cell r="C60">
            <v>146419.84999999998</v>
          </cell>
        </row>
        <row r="61">
          <cell r="A61" t="str">
            <v>David Evans Group - Caboolture</v>
          </cell>
          <cell r="B61">
            <v>3</v>
          </cell>
          <cell r="C61">
            <v>50938.569999999992</v>
          </cell>
        </row>
        <row r="62">
          <cell r="A62" t="str">
            <v>David Evans Group - Gatton</v>
          </cell>
          <cell r="B62">
            <v>16</v>
          </cell>
          <cell r="C62">
            <v>496236.39999999991</v>
          </cell>
        </row>
        <row r="63">
          <cell r="A63" t="str">
            <v>David Evans Group - Gympie</v>
          </cell>
          <cell r="B63">
            <v>5</v>
          </cell>
          <cell r="C63">
            <v>82971.06</v>
          </cell>
        </row>
        <row r="64">
          <cell r="A64" t="str">
            <v>David Evans Group - Millmerran</v>
          </cell>
          <cell r="B64">
            <v>1</v>
          </cell>
          <cell r="C64">
            <v>88291.6</v>
          </cell>
        </row>
        <row r="65">
          <cell r="A65" t="str">
            <v>David Evans Group - Mundubbera</v>
          </cell>
          <cell r="B65">
            <v>6</v>
          </cell>
          <cell r="C65">
            <v>118617.80999999998</v>
          </cell>
        </row>
        <row r="66">
          <cell r="A66" t="str">
            <v>David Evans Group - Nambour</v>
          </cell>
          <cell r="B66">
            <v>2</v>
          </cell>
          <cell r="C66">
            <v>28805.15</v>
          </cell>
        </row>
        <row r="67">
          <cell r="A67" t="str">
            <v>David Evans Group - Toowoomba</v>
          </cell>
          <cell r="B67">
            <v>15</v>
          </cell>
          <cell r="C67">
            <v>747018.04</v>
          </cell>
        </row>
        <row r="68">
          <cell r="A68" t="str">
            <v>David Evans Group - Warwick</v>
          </cell>
          <cell r="B68">
            <v>14</v>
          </cell>
          <cell r="C68">
            <v>622206.1</v>
          </cell>
        </row>
        <row r="69">
          <cell r="A69" t="str">
            <v>Days Machinery - Casino</v>
          </cell>
          <cell r="B69">
            <v>17</v>
          </cell>
          <cell r="C69">
            <v>535304.47</v>
          </cell>
        </row>
        <row r="70">
          <cell r="A70" t="str">
            <v>De Rosa's Highway Motors</v>
          </cell>
          <cell r="B70">
            <v>24</v>
          </cell>
          <cell r="C70">
            <v>796719.53000000014</v>
          </cell>
        </row>
        <row r="71">
          <cell r="A71" t="str">
            <v>Denman Dapkos - Denman</v>
          </cell>
          <cell r="B71">
            <v>6</v>
          </cell>
          <cell r="C71">
            <v>78913.25</v>
          </cell>
        </row>
        <row r="72">
          <cell r="A72" t="str">
            <v>Direct - CC Internal Sales</v>
          </cell>
          <cell r="B72">
            <v>26</v>
          </cell>
          <cell r="C72">
            <v>1400414.4400000002</v>
          </cell>
        </row>
        <row r="73">
          <cell r="A73" t="str">
            <v>Direct - CC New South Wales</v>
          </cell>
          <cell r="B73">
            <v>8</v>
          </cell>
          <cell r="C73">
            <v>352115.18000000005</v>
          </cell>
        </row>
        <row r="74">
          <cell r="A74" t="str">
            <v>Direct - CC Queensland</v>
          </cell>
          <cell r="B74">
            <v>8</v>
          </cell>
          <cell r="C74">
            <v>299492.89</v>
          </cell>
        </row>
        <row r="75">
          <cell r="A75" t="str">
            <v>Direct - CC Tri States</v>
          </cell>
          <cell r="B75">
            <v>9</v>
          </cell>
          <cell r="C75">
            <v>527196.06999999995</v>
          </cell>
        </row>
        <row r="76">
          <cell r="A76" t="str">
            <v>Direct - NHF Internal Sales</v>
          </cell>
          <cell r="B76">
            <v>23</v>
          </cell>
          <cell r="C76">
            <v>1489310.2000000002</v>
          </cell>
        </row>
        <row r="77">
          <cell r="A77" t="str">
            <v>Direct - NHF New South Wales</v>
          </cell>
          <cell r="B77">
            <v>2</v>
          </cell>
          <cell r="C77">
            <v>110304.63000000002</v>
          </cell>
        </row>
        <row r="78">
          <cell r="A78" t="str">
            <v>Direct - NHF Queensland</v>
          </cell>
          <cell r="B78">
            <v>5</v>
          </cell>
          <cell r="C78">
            <v>470666.25</v>
          </cell>
        </row>
        <row r="79">
          <cell r="A79" t="str">
            <v>Direct - NHF Tri States</v>
          </cell>
          <cell r="B79">
            <v>9</v>
          </cell>
          <cell r="C79">
            <v>388919.67999999993</v>
          </cell>
        </row>
        <row r="80">
          <cell r="A80" t="str">
            <v>Direct - Western Australia</v>
          </cell>
          <cell r="B80">
            <v>2</v>
          </cell>
          <cell r="C80">
            <v>76591.199999999997</v>
          </cell>
        </row>
        <row r="81">
          <cell r="A81" t="str">
            <v>DJ Grech</v>
          </cell>
          <cell r="B81">
            <v>12</v>
          </cell>
          <cell r="C81">
            <v>267004.94000000006</v>
          </cell>
        </row>
        <row r="82">
          <cell r="A82" t="str">
            <v>Dover &amp; Sons - Beaudesert</v>
          </cell>
          <cell r="B82">
            <v>2</v>
          </cell>
          <cell r="C82">
            <v>87209.69</v>
          </cell>
        </row>
        <row r="83">
          <cell r="A83" t="str">
            <v>Dover &amp; Sons - Boonah</v>
          </cell>
          <cell r="B83">
            <v>6</v>
          </cell>
          <cell r="C83">
            <v>199799.05999999997</v>
          </cell>
        </row>
        <row r="84">
          <cell r="A84" t="str">
            <v>Duncan &amp; Duncan - Walgett</v>
          </cell>
          <cell r="B84">
            <v>17</v>
          </cell>
          <cell r="C84">
            <v>3173248.15</v>
          </cell>
        </row>
        <row r="85">
          <cell r="A85" t="str">
            <v>Dunlop &amp; Isbel - St Arnaud</v>
          </cell>
          <cell r="B85">
            <v>2</v>
          </cell>
          <cell r="C85">
            <v>177068.02000000002</v>
          </cell>
        </row>
        <row r="86">
          <cell r="A86" t="str">
            <v>Echuca CIH - Echuca</v>
          </cell>
          <cell r="B86">
            <v>50</v>
          </cell>
          <cell r="C86">
            <v>3974608.7299999995</v>
          </cell>
        </row>
        <row r="87">
          <cell r="A87" t="str">
            <v>Echuca Rural (Echuca)</v>
          </cell>
          <cell r="B87">
            <v>75</v>
          </cell>
          <cell r="C87">
            <v>2666005.2799999993</v>
          </cell>
        </row>
        <row r="88">
          <cell r="A88" t="str">
            <v>Errol Matschoss - Waikerie</v>
          </cell>
          <cell r="B88">
            <v>17</v>
          </cell>
          <cell r="C88">
            <v>1413731.6999999997</v>
          </cell>
        </row>
        <row r="89">
          <cell r="A89" t="str">
            <v>Farm &amp; Garden Products</v>
          </cell>
          <cell r="B89">
            <v>5</v>
          </cell>
          <cell r="C89">
            <v>214874.54000000004</v>
          </cell>
        </row>
        <row r="90">
          <cell r="A90" t="str">
            <v>Farm and Garden Products</v>
          </cell>
          <cell r="B90">
            <v>7</v>
          </cell>
          <cell r="C90">
            <v>170193.45999999996</v>
          </cell>
        </row>
        <row r="91">
          <cell r="A91" t="str">
            <v>Farm Machinery Tasmania</v>
          </cell>
          <cell r="B91">
            <v>15</v>
          </cell>
          <cell r="C91">
            <v>657676.66</v>
          </cell>
        </row>
        <row r="92">
          <cell r="A92" t="str">
            <v>Farmers Centre (1978) - Albany</v>
          </cell>
          <cell r="B92">
            <v>24</v>
          </cell>
          <cell r="C92">
            <v>2842731.5100000002</v>
          </cell>
        </row>
        <row r="93">
          <cell r="A93" t="str">
            <v>Farmers Centre (1978) - Dumbleyung</v>
          </cell>
          <cell r="B93">
            <v>3</v>
          </cell>
          <cell r="C93">
            <v>428930.48</v>
          </cell>
        </row>
        <row r="94">
          <cell r="A94" t="str">
            <v>Farmers Centre (1978) - Katanning</v>
          </cell>
          <cell r="B94">
            <v>4</v>
          </cell>
          <cell r="C94">
            <v>437228.17</v>
          </cell>
        </row>
        <row r="95">
          <cell r="A95" t="str">
            <v>Farmers Centre (1978) - Lake Grace</v>
          </cell>
          <cell r="B95">
            <v>7</v>
          </cell>
          <cell r="C95">
            <v>1020306.3800000001</v>
          </cell>
        </row>
        <row r="96">
          <cell r="A96" t="str">
            <v>Farmers Centre (Narrogin)</v>
          </cell>
          <cell r="B96">
            <v>7</v>
          </cell>
          <cell r="C96">
            <v>831757.33999999985</v>
          </cell>
        </row>
        <row r="97">
          <cell r="A97" t="str">
            <v>Farmers Centre (WA) - Esperance</v>
          </cell>
          <cell r="B97">
            <v>34</v>
          </cell>
          <cell r="C97">
            <v>5503155.0100000007</v>
          </cell>
        </row>
        <row r="98">
          <cell r="A98" t="str">
            <v>Farmers Centre (WA) - Ravensthorpe</v>
          </cell>
          <cell r="B98">
            <v>6</v>
          </cell>
          <cell r="C98">
            <v>327792.69000000006</v>
          </cell>
        </row>
        <row r="99">
          <cell r="A99" t="str">
            <v>Farmpower - Kulin</v>
          </cell>
          <cell r="B99">
            <v>5</v>
          </cell>
          <cell r="C99">
            <v>974094.3</v>
          </cell>
        </row>
        <row r="100">
          <cell r="A100" t="str">
            <v>Farmpower - Merredin</v>
          </cell>
          <cell r="B100">
            <v>1</v>
          </cell>
          <cell r="C100">
            <v>188267.74</v>
          </cell>
        </row>
        <row r="101">
          <cell r="A101" t="str">
            <v>Farmpower - Quairading</v>
          </cell>
          <cell r="B101">
            <v>24</v>
          </cell>
          <cell r="C101">
            <v>2905583.04</v>
          </cell>
        </row>
        <row r="102">
          <cell r="A102" t="str">
            <v>Fentons Farm Machinery</v>
          </cell>
          <cell r="B102">
            <v>9</v>
          </cell>
          <cell r="C102">
            <v>247095.16999999993</v>
          </cell>
        </row>
        <row r="103">
          <cell r="A103" t="str">
            <v>Five Star Enterprises (Moree)</v>
          </cell>
          <cell r="B103">
            <v>1</v>
          </cell>
          <cell r="C103">
            <v>34321.469999999994</v>
          </cell>
        </row>
        <row r="104">
          <cell r="A104" t="str">
            <v>Flinders Machinery</v>
          </cell>
          <cell r="B104">
            <v>41</v>
          </cell>
          <cell r="C104">
            <v>4425356.95</v>
          </cell>
        </row>
        <row r="105">
          <cell r="A105" t="str">
            <v>Forbes Machinery</v>
          </cell>
          <cell r="B105">
            <v>37</v>
          </cell>
          <cell r="C105">
            <v>1979485.74</v>
          </cell>
        </row>
        <row r="106">
          <cell r="A106" t="str">
            <v>Fox Finance &amp; Leasing</v>
          </cell>
          <cell r="B106">
            <v>2</v>
          </cell>
          <cell r="C106">
            <v>314730.2</v>
          </cell>
        </row>
        <row r="107">
          <cell r="A107" t="str">
            <v>Gaffney (machinery) - Somerset</v>
          </cell>
          <cell r="B107">
            <v>45</v>
          </cell>
          <cell r="C107">
            <v>1730622.86</v>
          </cell>
        </row>
        <row r="108">
          <cell r="A108" t="str">
            <v>Gallaghers Machinery (NH)</v>
          </cell>
          <cell r="B108">
            <v>3</v>
          </cell>
          <cell r="C108">
            <v>132449.72</v>
          </cell>
        </row>
        <row r="109">
          <cell r="A109" t="str">
            <v>GBC Motors - Mildura</v>
          </cell>
          <cell r="B109">
            <v>69</v>
          </cell>
          <cell r="C109">
            <v>2569036.6399999992</v>
          </cell>
        </row>
        <row r="110">
          <cell r="A110" t="str">
            <v>Gendore Tractors &amp; Mach. 3980</v>
          </cell>
          <cell r="B110">
            <v>8</v>
          </cell>
          <cell r="C110">
            <v>257814.50999999992</v>
          </cell>
        </row>
        <row r="111">
          <cell r="A111" t="str">
            <v>Gendore Tractors &amp; Mach. LGTHA</v>
          </cell>
          <cell r="B111">
            <v>34</v>
          </cell>
          <cell r="C111">
            <v>1228824.3899999999</v>
          </cell>
        </row>
        <row r="112">
          <cell r="A112" t="str">
            <v>Geronimo Farm Equipment</v>
          </cell>
          <cell r="B112">
            <v>14</v>
          </cell>
          <cell r="C112">
            <v>1148806.99</v>
          </cell>
        </row>
        <row r="113">
          <cell r="A113" t="str">
            <v>Geronimo Farm Equipment Walgett</v>
          </cell>
          <cell r="B113">
            <v>17</v>
          </cell>
          <cell r="C113">
            <v>1801905.1700000002</v>
          </cell>
        </row>
        <row r="114">
          <cell r="A114" t="str">
            <v>Gino Favaro &amp; Son</v>
          </cell>
          <cell r="B114">
            <v>3</v>
          </cell>
          <cell r="C114">
            <v>64465.87999999999</v>
          </cell>
        </row>
        <row r="115">
          <cell r="A115" t="str">
            <v>Godings Welding - Whittlesea</v>
          </cell>
          <cell r="B115">
            <v>4</v>
          </cell>
          <cell r="C115">
            <v>73104.200000000012</v>
          </cell>
        </row>
        <row r="116">
          <cell r="A116" t="str">
            <v>Goodwin Kenny - Gunnedah</v>
          </cell>
          <cell r="B116">
            <v>20</v>
          </cell>
          <cell r="C116">
            <v>554451.98</v>
          </cell>
        </row>
        <row r="117">
          <cell r="A117" t="str">
            <v>Goodwin Kenny - Tamworth</v>
          </cell>
          <cell r="B117">
            <v>8</v>
          </cell>
          <cell r="C117">
            <v>185224.31999999998</v>
          </cell>
        </row>
        <row r="118">
          <cell r="A118" t="str">
            <v>Great Southern Motors -Wagga</v>
          </cell>
          <cell r="B118">
            <v>4</v>
          </cell>
          <cell r="C118">
            <v>218867.8</v>
          </cell>
        </row>
        <row r="119">
          <cell r="A119" t="str">
            <v>Great Southern Motors Albury</v>
          </cell>
          <cell r="B119">
            <v>1</v>
          </cell>
          <cell r="C119">
            <v>28613.11</v>
          </cell>
        </row>
        <row r="120">
          <cell r="A120" t="str">
            <v>Hage Tractors - Naracoorte</v>
          </cell>
          <cell r="B120">
            <v>44</v>
          </cell>
          <cell r="C120">
            <v>2780811.26</v>
          </cell>
        </row>
        <row r="121">
          <cell r="A121" t="str">
            <v>Hartwigs - Lavington</v>
          </cell>
          <cell r="B121">
            <v>6</v>
          </cell>
          <cell r="C121">
            <v>242833.84</v>
          </cell>
        </row>
        <row r="122">
          <cell r="A122" t="str">
            <v>Hartwigs - Wagga</v>
          </cell>
          <cell r="B122">
            <v>30</v>
          </cell>
          <cell r="C122">
            <v>2022710.08</v>
          </cell>
        </row>
        <row r="123">
          <cell r="A123" t="str">
            <v>Hartwigs Griffith</v>
          </cell>
          <cell r="B123">
            <v>27</v>
          </cell>
          <cell r="C123">
            <v>3128807.9399999995</v>
          </cell>
        </row>
        <row r="124">
          <cell r="A124" t="str">
            <v>Hutton &amp; Northey - Corrigin</v>
          </cell>
          <cell r="B124">
            <v>7</v>
          </cell>
          <cell r="C124">
            <v>987459.66</v>
          </cell>
        </row>
        <row r="125">
          <cell r="A125" t="str">
            <v>Hutton &amp; Northey - Cunderdin (CIH)</v>
          </cell>
          <cell r="B125">
            <v>8</v>
          </cell>
          <cell r="C125">
            <v>994833.61999999988</v>
          </cell>
        </row>
        <row r="126">
          <cell r="A126" t="str">
            <v>Hutton &amp; Northey - Merredin (CIH)</v>
          </cell>
          <cell r="B126">
            <v>5</v>
          </cell>
          <cell r="C126">
            <v>349927.92999999993</v>
          </cell>
        </row>
        <row r="127">
          <cell r="A127" t="str">
            <v>Hutton &amp; Northey - Mukinbudin (CIH)</v>
          </cell>
          <cell r="B127">
            <v>2</v>
          </cell>
          <cell r="C127">
            <v>360091.32999999996</v>
          </cell>
        </row>
        <row r="128">
          <cell r="A128" t="str">
            <v>Hydraulics &amp; Tractor Service</v>
          </cell>
          <cell r="B128">
            <v>2</v>
          </cell>
          <cell r="C128">
            <v>52313.409999999989</v>
          </cell>
        </row>
        <row r="129">
          <cell r="A129" t="str">
            <v>Intersales - Leeton</v>
          </cell>
          <cell r="B129">
            <v>23</v>
          </cell>
          <cell r="C129">
            <v>2737802.31</v>
          </cell>
        </row>
        <row r="130">
          <cell r="A130" t="str">
            <v>Intersales - Temora</v>
          </cell>
          <cell r="B130">
            <v>83</v>
          </cell>
          <cell r="C130">
            <v>9879024.8000000007</v>
          </cell>
        </row>
        <row r="131">
          <cell r="A131" t="str">
            <v>Inverell Power Farm Co</v>
          </cell>
          <cell r="B131">
            <v>14</v>
          </cell>
          <cell r="C131">
            <v>722171.51000000013</v>
          </cell>
        </row>
        <row r="132">
          <cell r="A132" t="str">
            <v>Iveco Trucks</v>
          </cell>
          <cell r="B132">
            <v>1</v>
          </cell>
          <cell r="C132">
            <v>13023.39999999998</v>
          </cell>
        </row>
        <row r="133">
          <cell r="A133" t="str">
            <v>JJ O'Connor &amp; Son - Corowa</v>
          </cell>
          <cell r="B133">
            <v>31</v>
          </cell>
          <cell r="C133">
            <v>3334700.34</v>
          </cell>
        </row>
        <row r="134">
          <cell r="A134" t="str">
            <v>JJ O'Connor &amp; Sons - Bordertown</v>
          </cell>
          <cell r="B134">
            <v>13</v>
          </cell>
          <cell r="C134">
            <v>1821403.7400000002</v>
          </cell>
        </row>
        <row r="135">
          <cell r="A135" t="str">
            <v>JJ O'Connors - Birchip</v>
          </cell>
          <cell r="B135">
            <v>1</v>
          </cell>
          <cell r="C135">
            <v>82505.540000000008</v>
          </cell>
        </row>
        <row r="136">
          <cell r="A136" t="str">
            <v>JJ O'Connors - Horsham</v>
          </cell>
          <cell r="B136">
            <v>42</v>
          </cell>
          <cell r="C136">
            <v>5013126.3399999989</v>
          </cell>
        </row>
        <row r="137">
          <cell r="A137" t="str">
            <v>JJ O'Connors - Warracknabeal</v>
          </cell>
          <cell r="B137">
            <v>30</v>
          </cell>
          <cell r="C137">
            <v>4817374.9499999993</v>
          </cell>
        </row>
        <row r="138">
          <cell r="A138" t="str">
            <v>John Payne AG - Bordertown</v>
          </cell>
          <cell r="B138">
            <v>1</v>
          </cell>
          <cell r="C138">
            <v>101083.91</v>
          </cell>
        </row>
        <row r="139">
          <cell r="A139" t="str">
            <v>Ken Gordon Financial Services</v>
          </cell>
          <cell r="B139">
            <v>1</v>
          </cell>
          <cell r="C139">
            <v>25712.619999999988</v>
          </cell>
        </row>
        <row r="140">
          <cell r="A140" t="str">
            <v>Kenway &amp; Clark - Goondiwindi</v>
          </cell>
          <cell r="B140">
            <v>19</v>
          </cell>
          <cell r="C140">
            <v>2218596.17</v>
          </cell>
        </row>
        <row r="141">
          <cell r="A141" t="str">
            <v>Kenway &amp; Clark - Inverell</v>
          </cell>
          <cell r="B141">
            <v>22</v>
          </cell>
          <cell r="C141">
            <v>1068726.96</v>
          </cell>
        </row>
        <row r="142">
          <cell r="A142" t="str">
            <v>Kenway &amp; Clark - Moree</v>
          </cell>
          <cell r="B142">
            <v>42</v>
          </cell>
          <cell r="C142">
            <v>7418461.1300000018</v>
          </cell>
        </row>
        <row r="143">
          <cell r="A143" t="str">
            <v>Kenway &amp; Clark - Wee Waa</v>
          </cell>
          <cell r="B143">
            <v>4</v>
          </cell>
          <cell r="C143">
            <v>538625.68000000005</v>
          </cell>
        </row>
        <row r="144">
          <cell r="A144" t="str">
            <v>KP &amp; DC Machinery - (CC) Rutherford</v>
          </cell>
          <cell r="B144">
            <v>7</v>
          </cell>
          <cell r="C144">
            <v>139057.31</v>
          </cell>
        </row>
        <row r="145">
          <cell r="A145" t="str">
            <v>KP &amp; DC Machinery - (NH) Rutherford</v>
          </cell>
          <cell r="B145">
            <v>7</v>
          </cell>
          <cell r="C145">
            <v>115522.10999999999</v>
          </cell>
        </row>
        <row r="146">
          <cell r="A146" t="str">
            <v>Larwoods Ag Services - Kadina</v>
          </cell>
          <cell r="B146">
            <v>53</v>
          </cell>
          <cell r="C146">
            <v>7241777.8600000003</v>
          </cell>
        </row>
        <row r="147">
          <cell r="A147" t="str">
            <v>Lewis Construction Equipment Sales</v>
          </cell>
          <cell r="B147">
            <v>4</v>
          </cell>
          <cell r="C147">
            <v>125241.06999999999</v>
          </cell>
        </row>
        <row r="148">
          <cell r="A148" t="str">
            <v>Linx Finance Australia</v>
          </cell>
          <cell r="B148">
            <v>1</v>
          </cell>
          <cell r="C148">
            <v>180935.08000000002</v>
          </cell>
        </row>
        <row r="149">
          <cell r="A149" t="str">
            <v>Lyndoch Motors</v>
          </cell>
          <cell r="B149">
            <v>69</v>
          </cell>
          <cell r="C149">
            <v>5873941.1500000004</v>
          </cell>
        </row>
        <row r="150">
          <cell r="A150" t="str">
            <v>Machinery West - Donnybrook</v>
          </cell>
          <cell r="B150">
            <v>27</v>
          </cell>
          <cell r="C150">
            <v>667709.67000000004</v>
          </cell>
        </row>
        <row r="151">
          <cell r="A151" t="str">
            <v>Macleay Machinery</v>
          </cell>
          <cell r="B151">
            <v>9</v>
          </cell>
          <cell r="C151">
            <v>236101.70999999996</v>
          </cell>
        </row>
        <row r="152">
          <cell r="A152" t="str">
            <v>McDonald Murphy</v>
          </cell>
          <cell r="B152">
            <v>7</v>
          </cell>
          <cell r="C152">
            <v>213402.27999999997</v>
          </cell>
        </row>
        <row r="153">
          <cell r="A153" t="str">
            <v>McDonald Murphy - Bundaberg</v>
          </cell>
          <cell r="B153">
            <v>21</v>
          </cell>
          <cell r="C153">
            <v>714871.06</v>
          </cell>
        </row>
        <row r="154">
          <cell r="A154" t="str">
            <v>McDonald Murphy - Mackay</v>
          </cell>
          <cell r="B154">
            <v>18</v>
          </cell>
          <cell r="C154">
            <v>875789.13</v>
          </cell>
        </row>
        <row r="155">
          <cell r="A155" t="str">
            <v>McIntosh &amp; Son -  Dalby</v>
          </cell>
          <cell r="B155">
            <v>28</v>
          </cell>
          <cell r="C155">
            <v>2460101.58</v>
          </cell>
        </row>
        <row r="156">
          <cell r="A156" t="str">
            <v>McIntosh &amp; Son - Emerald</v>
          </cell>
          <cell r="B156">
            <v>1</v>
          </cell>
          <cell r="C156">
            <v>62630.28</v>
          </cell>
        </row>
        <row r="157">
          <cell r="A157" t="str">
            <v>McIntosh &amp; Son - Geraldton</v>
          </cell>
          <cell r="B157">
            <v>43</v>
          </cell>
          <cell r="C157">
            <v>3633233.6899999995</v>
          </cell>
        </row>
        <row r="158">
          <cell r="A158" t="str">
            <v>McIntosh &amp; Son - Katanning</v>
          </cell>
          <cell r="B158">
            <v>33</v>
          </cell>
          <cell r="C158">
            <v>3415630.64</v>
          </cell>
        </row>
        <row r="159">
          <cell r="A159" t="str">
            <v>McIntosh &amp; Son - Moora</v>
          </cell>
          <cell r="B159">
            <v>15</v>
          </cell>
          <cell r="C159">
            <v>1926902.65</v>
          </cell>
        </row>
        <row r="160">
          <cell r="A160" t="str">
            <v>McIntosh &amp; Son - Redcliffe</v>
          </cell>
          <cell r="B160">
            <v>68</v>
          </cell>
          <cell r="C160">
            <v>3755681.2899999996</v>
          </cell>
        </row>
        <row r="161">
          <cell r="A161" t="str">
            <v>McIntosh &amp; Son - Wongan Hills</v>
          </cell>
          <cell r="B161">
            <v>20</v>
          </cell>
          <cell r="C161">
            <v>3008897.0699999994</v>
          </cell>
        </row>
        <row r="162">
          <cell r="A162" t="str">
            <v>McPhersons Parts &amp; Service</v>
          </cell>
          <cell r="B162">
            <v>39</v>
          </cell>
          <cell r="C162">
            <v>4244447.58</v>
          </cell>
        </row>
        <row r="163">
          <cell r="A163" t="str">
            <v>Milne Bros - Rockhampton</v>
          </cell>
          <cell r="B163">
            <v>1</v>
          </cell>
          <cell r="C163">
            <v>18057.689999999995</v>
          </cell>
        </row>
        <row r="164">
          <cell r="A164" t="str">
            <v>Milne Bros Equipment Emerald</v>
          </cell>
          <cell r="B164">
            <v>7</v>
          </cell>
          <cell r="C164">
            <v>744528.22</v>
          </cell>
        </row>
        <row r="165">
          <cell r="A165" t="str">
            <v>MJ &amp; AM Charlton</v>
          </cell>
          <cell r="B165">
            <v>10</v>
          </cell>
          <cell r="C165">
            <v>388555.79000000004</v>
          </cell>
        </row>
        <row r="166">
          <cell r="A166" t="str">
            <v>Mounts Machinery Pty Ltd</v>
          </cell>
          <cell r="B166">
            <v>4</v>
          </cell>
          <cell r="C166">
            <v>196674.35</v>
          </cell>
        </row>
        <row r="167">
          <cell r="A167" t="str">
            <v>Mounts Machinery Pty Ltd (NH)</v>
          </cell>
          <cell r="B167">
            <v>7</v>
          </cell>
          <cell r="C167">
            <v>512525.02</v>
          </cell>
        </row>
        <row r="168">
          <cell r="A168" t="str">
            <v>Mudgee Machinery Centre</v>
          </cell>
          <cell r="B168">
            <v>2</v>
          </cell>
          <cell r="C168">
            <v>34985.120000000003</v>
          </cell>
        </row>
        <row r="169">
          <cell r="A169" t="str">
            <v>ND &amp; JA Giles Farm Machinery</v>
          </cell>
          <cell r="B169">
            <v>78</v>
          </cell>
          <cell r="C169">
            <v>3408849.1999999993</v>
          </cell>
        </row>
        <row r="170">
          <cell r="A170" t="str">
            <v>Noel Graham Farm Machinery</v>
          </cell>
          <cell r="B170">
            <v>1</v>
          </cell>
          <cell r="C170">
            <v>28759.870000000003</v>
          </cell>
        </row>
        <row r="171">
          <cell r="A171" t="str">
            <v>North Pine Mtrs</v>
          </cell>
          <cell r="B171">
            <v>5</v>
          </cell>
          <cell r="C171">
            <v>173800.62999999995</v>
          </cell>
        </row>
        <row r="172">
          <cell r="A172" t="str">
            <v>Northern Rivers Machinery</v>
          </cell>
          <cell r="B172">
            <v>29</v>
          </cell>
          <cell r="C172">
            <v>806082.97</v>
          </cell>
        </row>
        <row r="173">
          <cell r="A173" t="str">
            <v>Norwood Agriculture - Horsham</v>
          </cell>
          <cell r="B173">
            <v>6</v>
          </cell>
          <cell r="C173">
            <v>456922.99</v>
          </cell>
        </row>
        <row r="174">
          <cell r="A174" t="str">
            <v>Norwood Agriculture - Lockhart</v>
          </cell>
          <cell r="B174">
            <v>1</v>
          </cell>
          <cell r="C174">
            <v>218176.68</v>
          </cell>
        </row>
        <row r="175">
          <cell r="A175" t="str">
            <v>Norwood Agriculture - Swan Hill</v>
          </cell>
          <cell r="B175">
            <v>34</v>
          </cell>
          <cell r="C175">
            <v>2977816.25</v>
          </cell>
        </row>
        <row r="176">
          <cell r="A176" t="str">
            <v>Norwood Agriculture - Wagga</v>
          </cell>
          <cell r="B176">
            <v>23</v>
          </cell>
          <cell r="C176">
            <v>1481029.61</v>
          </cell>
        </row>
        <row r="177">
          <cell r="A177" t="str">
            <v>Norwood Agriculture - Whittlesea</v>
          </cell>
          <cell r="B177">
            <v>6</v>
          </cell>
          <cell r="C177">
            <v>222635.44999999998</v>
          </cell>
        </row>
        <row r="178">
          <cell r="A178" t="str">
            <v>Norwood Agriculture - Wodonga</v>
          </cell>
          <cell r="B178">
            <v>15</v>
          </cell>
          <cell r="C178">
            <v>530678.66999999993</v>
          </cell>
        </row>
        <row r="179">
          <cell r="A179" t="str">
            <v>Nowra Truck &amp; Tractor Repairs</v>
          </cell>
          <cell r="B179">
            <v>1</v>
          </cell>
          <cell r="C179">
            <v>10631.130000000001</v>
          </cell>
        </row>
        <row r="180">
          <cell r="A180" t="str">
            <v>Nowra Truck &amp; Tractor Repairs PTY LTD</v>
          </cell>
          <cell r="B180">
            <v>4</v>
          </cell>
          <cell r="C180">
            <v>155884.43</v>
          </cell>
        </row>
        <row r="181">
          <cell r="A181" t="str">
            <v>O'Connors - Birchip</v>
          </cell>
          <cell r="B181">
            <v>37</v>
          </cell>
          <cell r="C181">
            <v>4372505.7599999988</v>
          </cell>
        </row>
        <row r="182">
          <cell r="A182" t="str">
            <v>O'Connors Shepparton</v>
          </cell>
          <cell r="B182">
            <v>17</v>
          </cell>
          <cell r="C182">
            <v>1565830.4999999998</v>
          </cell>
        </row>
        <row r="183">
          <cell r="A183" t="str">
            <v>On-Trac Ag</v>
          </cell>
          <cell r="B183">
            <v>33</v>
          </cell>
          <cell r="C183">
            <v>890061.70000000007</v>
          </cell>
        </row>
        <row r="184">
          <cell r="A184" t="str">
            <v>On-Trac Ag Bathurst</v>
          </cell>
          <cell r="B184">
            <v>35</v>
          </cell>
          <cell r="C184">
            <v>1135437.6199999999</v>
          </cell>
        </row>
        <row r="185">
          <cell r="A185" t="str">
            <v>Peter May Finance</v>
          </cell>
          <cell r="B185">
            <v>14</v>
          </cell>
          <cell r="C185">
            <v>1415950.3299999998</v>
          </cell>
        </row>
        <row r="186">
          <cell r="A186" t="str">
            <v>Phillips Farm Machinery</v>
          </cell>
          <cell r="B186">
            <v>8</v>
          </cell>
          <cell r="C186">
            <v>399495.31000000006</v>
          </cell>
        </row>
        <row r="187">
          <cell r="A187" t="str">
            <v>Pierpoint Motors - Stanthorpe</v>
          </cell>
          <cell r="B187">
            <v>17</v>
          </cell>
          <cell r="C187">
            <v>395714.8</v>
          </cell>
        </row>
        <row r="188">
          <cell r="A188" t="str">
            <v>Plumb Motors - Bega</v>
          </cell>
          <cell r="B188">
            <v>1</v>
          </cell>
          <cell r="C188">
            <v>28710.04</v>
          </cell>
        </row>
        <row r="189">
          <cell r="A189" t="str">
            <v>Price Farm Machinery</v>
          </cell>
          <cell r="B189">
            <v>1</v>
          </cell>
          <cell r="C189">
            <v>15244.179999999997</v>
          </cell>
        </row>
        <row r="190">
          <cell r="A190" t="str">
            <v>Purcher International</v>
          </cell>
          <cell r="B190">
            <v>43</v>
          </cell>
          <cell r="C190">
            <v>4942574.92</v>
          </cell>
        </row>
        <row r="191">
          <cell r="A191" t="str">
            <v>QMAC Machinery</v>
          </cell>
          <cell r="B191">
            <v>23</v>
          </cell>
          <cell r="C191">
            <v>1104641.8299999998</v>
          </cell>
        </row>
        <row r="192">
          <cell r="A192" t="str">
            <v>R McClintock &amp; Co - Forbes</v>
          </cell>
          <cell r="B192">
            <v>24</v>
          </cell>
          <cell r="C192">
            <v>2548536.0499999998</v>
          </cell>
        </row>
        <row r="193">
          <cell r="A193" t="str">
            <v>R McClintock &amp; Co - Grenfell</v>
          </cell>
          <cell r="B193">
            <v>7</v>
          </cell>
          <cell r="C193">
            <v>794555.9</v>
          </cell>
        </row>
        <row r="194">
          <cell r="A194" t="str">
            <v>R McClintock &amp; Co - West Wyalong</v>
          </cell>
          <cell r="B194">
            <v>18</v>
          </cell>
          <cell r="C194">
            <v>1803506.9599999997</v>
          </cell>
        </row>
        <row r="195">
          <cell r="A195" t="str">
            <v>Ramsey Bros (Cleve)</v>
          </cell>
          <cell r="B195">
            <v>29</v>
          </cell>
          <cell r="C195">
            <v>2539844.7399999998</v>
          </cell>
        </row>
        <row r="196">
          <cell r="A196" t="str">
            <v>Ramsey Bros (Cummins)</v>
          </cell>
          <cell r="B196">
            <v>50</v>
          </cell>
          <cell r="C196">
            <v>6610024.9999999991</v>
          </cell>
        </row>
        <row r="197">
          <cell r="A197" t="str">
            <v>Ramsey Bros (Murray Bridge)</v>
          </cell>
          <cell r="B197">
            <v>27</v>
          </cell>
          <cell r="C197">
            <v>2028102.1000000003</v>
          </cell>
        </row>
        <row r="198">
          <cell r="A198" t="str">
            <v>Ramsey Bros (Riverton)</v>
          </cell>
          <cell r="B198">
            <v>26</v>
          </cell>
          <cell r="C198">
            <v>2665197.2999999998</v>
          </cell>
        </row>
        <row r="199">
          <cell r="A199" t="str">
            <v>Ramsey Bros (Wudinna)</v>
          </cell>
          <cell r="B199">
            <v>28</v>
          </cell>
          <cell r="C199">
            <v>2335712.8699999996</v>
          </cell>
        </row>
        <row r="200">
          <cell r="A200" t="str">
            <v>Ranger Geale - Goulburn</v>
          </cell>
          <cell r="B200">
            <v>12</v>
          </cell>
          <cell r="C200">
            <v>309179.13</v>
          </cell>
        </row>
        <row r="201">
          <cell r="A201" t="str">
            <v>Red Line Machinery - Wee Waa</v>
          </cell>
          <cell r="B201">
            <v>1</v>
          </cell>
          <cell r="C201">
            <v>104199.89</v>
          </cell>
        </row>
        <row r="202">
          <cell r="A202" t="str">
            <v>Refinance</v>
          </cell>
          <cell r="B202">
            <v>9</v>
          </cell>
          <cell r="C202">
            <v>853880.76000000013</v>
          </cell>
        </row>
        <row r="203">
          <cell r="A203" t="str">
            <v>Refinance - Hardship</v>
          </cell>
          <cell r="B203">
            <v>28</v>
          </cell>
          <cell r="C203">
            <v>1647193.4700000002</v>
          </cell>
        </row>
        <row r="204">
          <cell r="A204" t="str">
            <v>Refinance - QLD Flood</v>
          </cell>
          <cell r="B204">
            <v>8</v>
          </cell>
          <cell r="C204">
            <v>667101.66999999993</v>
          </cell>
        </row>
        <row r="205">
          <cell r="A205" t="str">
            <v>Refinance - Remarketing</v>
          </cell>
          <cell r="B205">
            <v>86</v>
          </cell>
          <cell r="C205">
            <v>2319910.5600000005</v>
          </cell>
        </row>
        <row r="206">
          <cell r="A206" t="str">
            <v>Rhys Evans - Colac</v>
          </cell>
          <cell r="B206">
            <v>15</v>
          </cell>
          <cell r="C206">
            <v>913963.93</v>
          </cell>
        </row>
        <row r="207">
          <cell r="A207" t="str">
            <v>Rocky River AG - Crystal Brook</v>
          </cell>
          <cell r="B207">
            <v>77</v>
          </cell>
          <cell r="C207">
            <v>6894341.7499999991</v>
          </cell>
        </row>
        <row r="208">
          <cell r="A208" t="str">
            <v>Ronco Motors (CIH)</v>
          </cell>
          <cell r="B208">
            <v>12</v>
          </cell>
          <cell r="C208">
            <v>963954.38</v>
          </cell>
        </row>
        <row r="209">
          <cell r="A209" t="str">
            <v>Ronco Motors (NH)</v>
          </cell>
          <cell r="B209">
            <v>12</v>
          </cell>
          <cell r="C209">
            <v>1593881.8599999999</v>
          </cell>
        </row>
        <row r="210">
          <cell r="A210" t="str">
            <v>RP Motors - Werribee South</v>
          </cell>
          <cell r="B210">
            <v>12</v>
          </cell>
          <cell r="C210">
            <v>652035.34999999986</v>
          </cell>
        </row>
        <row r="211">
          <cell r="A211" t="str">
            <v>Russell Industries</v>
          </cell>
          <cell r="B211">
            <v>17</v>
          </cell>
          <cell r="C211">
            <v>608954.76</v>
          </cell>
        </row>
        <row r="212">
          <cell r="A212" t="str">
            <v>Sebastopol Mach - Millicent</v>
          </cell>
          <cell r="B212">
            <v>6</v>
          </cell>
          <cell r="C212">
            <v>423095.61</v>
          </cell>
        </row>
        <row r="213">
          <cell r="A213" t="str">
            <v>Semco Equip Sales - Cardiff</v>
          </cell>
          <cell r="B213">
            <v>2</v>
          </cell>
          <cell r="C213">
            <v>40846.790000000008</v>
          </cell>
        </row>
        <row r="214">
          <cell r="A214" t="str">
            <v>Semco Equip Sales - Queanbeyan</v>
          </cell>
          <cell r="B214">
            <v>19</v>
          </cell>
          <cell r="C214">
            <v>513570.04999999993</v>
          </cell>
        </row>
        <row r="215">
          <cell r="A215" t="str">
            <v>Semco Equip Sales - Queanbeyan (NH)</v>
          </cell>
          <cell r="B215">
            <v>14</v>
          </cell>
          <cell r="C215">
            <v>316391.09999999998</v>
          </cell>
        </row>
        <row r="216">
          <cell r="A216" t="str">
            <v>Semco Equip Sales - St Marys</v>
          </cell>
          <cell r="B216">
            <v>8</v>
          </cell>
          <cell r="C216">
            <v>156462.77000000002</v>
          </cell>
        </row>
        <row r="217">
          <cell r="A217" t="str">
            <v>Shannon Brothers - Harwood Island</v>
          </cell>
          <cell r="B217">
            <v>15</v>
          </cell>
          <cell r="C217">
            <v>528495.49</v>
          </cell>
        </row>
        <row r="218">
          <cell r="A218" t="str">
            <v>South Burnett Machinery</v>
          </cell>
          <cell r="B218">
            <v>19</v>
          </cell>
          <cell r="C218">
            <v>511731.65</v>
          </cell>
        </row>
        <row r="219">
          <cell r="A219" t="str">
            <v>South West Isuzu</v>
          </cell>
          <cell r="B219">
            <v>5</v>
          </cell>
          <cell r="C219">
            <v>223095.27000000002</v>
          </cell>
        </row>
        <row r="220">
          <cell r="A220" t="str">
            <v>South West Tractors (NH)</v>
          </cell>
          <cell r="B220">
            <v>19</v>
          </cell>
          <cell r="C220">
            <v>1227470.0699999998</v>
          </cell>
        </row>
        <row r="221">
          <cell r="A221" t="str">
            <v>Southern Machinery</v>
          </cell>
          <cell r="B221">
            <v>8</v>
          </cell>
          <cell r="C221">
            <v>170932.73</v>
          </cell>
        </row>
        <row r="222">
          <cell r="A222" t="str">
            <v>St George Machinery</v>
          </cell>
          <cell r="B222">
            <v>29</v>
          </cell>
          <cell r="C222">
            <v>3984272.2799999993</v>
          </cell>
        </row>
        <row r="223">
          <cell r="A223" t="str">
            <v>Staines Esperance</v>
          </cell>
          <cell r="B223">
            <v>41</v>
          </cell>
          <cell r="C223">
            <v>6667441.0200000005</v>
          </cell>
        </row>
        <row r="224">
          <cell r="A224" t="str">
            <v>Stan Cork Machinery</v>
          </cell>
          <cell r="B224">
            <v>15</v>
          </cell>
          <cell r="C224">
            <v>563138.72</v>
          </cell>
        </row>
        <row r="225">
          <cell r="A225" t="str">
            <v>Strathfield Equipment</v>
          </cell>
          <cell r="B225">
            <v>4</v>
          </cell>
          <cell r="C225">
            <v>114483.04</v>
          </cell>
        </row>
        <row r="226">
          <cell r="A226" t="str">
            <v>Sunstate Ag - Dalby</v>
          </cell>
          <cell r="B226">
            <v>4</v>
          </cell>
          <cell r="C226">
            <v>168713.43000000005</v>
          </cell>
        </row>
        <row r="227">
          <cell r="A227" t="str">
            <v>Sunstate Ag - Toowoomba</v>
          </cell>
          <cell r="B227">
            <v>3</v>
          </cell>
          <cell r="C227">
            <v>135188.29000000007</v>
          </cell>
        </row>
        <row r="228">
          <cell r="A228" t="str">
            <v>Swan Farm Machinery</v>
          </cell>
          <cell r="B228">
            <v>24</v>
          </cell>
          <cell r="C228">
            <v>1980614.72</v>
          </cell>
        </row>
        <row r="229">
          <cell r="A229" t="str">
            <v>Swayn &amp; McCabe</v>
          </cell>
          <cell r="B229">
            <v>45</v>
          </cell>
          <cell r="C229">
            <v>2297354.2400000007</v>
          </cell>
        </row>
        <row r="230">
          <cell r="A230" t="str">
            <v>Swayn &amp; Mccabe - Warrnambool</v>
          </cell>
          <cell r="B230">
            <v>7</v>
          </cell>
          <cell r="C230">
            <v>318163.94</v>
          </cell>
        </row>
        <row r="231">
          <cell r="A231" t="str">
            <v>Taskers Garage - Deniliquin</v>
          </cell>
          <cell r="B231">
            <v>15</v>
          </cell>
          <cell r="C231">
            <v>1020663.6299999999</v>
          </cell>
        </row>
        <row r="232">
          <cell r="A232" t="str">
            <v>Temora Truck &amp; Tractor Service</v>
          </cell>
          <cell r="B232">
            <v>23</v>
          </cell>
          <cell r="C232">
            <v>1739377.0399999998</v>
          </cell>
        </row>
        <row r="233">
          <cell r="A233" t="str">
            <v>Three Rivers Machinery</v>
          </cell>
          <cell r="B233">
            <v>24</v>
          </cell>
          <cell r="C233">
            <v>3699706.8899999997</v>
          </cell>
        </row>
        <row r="234">
          <cell r="A234" t="str">
            <v>TR &amp; KR Shipton - Quoiba</v>
          </cell>
          <cell r="B234">
            <v>28</v>
          </cell>
          <cell r="C234">
            <v>972466.45</v>
          </cell>
        </row>
        <row r="235">
          <cell r="A235" t="str">
            <v>Tracfin</v>
          </cell>
          <cell r="B235">
            <v>11</v>
          </cell>
          <cell r="C235">
            <v>1772350.18</v>
          </cell>
        </row>
        <row r="236">
          <cell r="A236" t="str">
            <v>Tracpower Nq</v>
          </cell>
          <cell r="B236">
            <v>33</v>
          </cell>
          <cell r="C236">
            <v>1656414.38</v>
          </cell>
        </row>
        <row r="237">
          <cell r="A237" t="str">
            <v>Tractors &amp; Machinery Adelaide</v>
          </cell>
          <cell r="B237">
            <v>6</v>
          </cell>
          <cell r="C237">
            <v>79874.189999999973</v>
          </cell>
        </row>
        <row r="238">
          <cell r="A238" t="str">
            <v>Trafalgar Tractor &amp; Mach</v>
          </cell>
          <cell r="B238">
            <v>34</v>
          </cell>
          <cell r="C238">
            <v>1178741.1000000003</v>
          </cell>
        </row>
        <row r="239">
          <cell r="A239" t="str">
            <v>Transport Finance</v>
          </cell>
          <cell r="B239">
            <v>20</v>
          </cell>
          <cell r="C239">
            <v>2060136.5999999999</v>
          </cell>
        </row>
        <row r="240">
          <cell r="A240" t="str">
            <v>Tri-City Trucks (NSW)</v>
          </cell>
          <cell r="B240">
            <v>1</v>
          </cell>
          <cell r="C240">
            <v>1083.9800000000032</v>
          </cell>
        </row>
        <row r="241">
          <cell r="A241" t="str">
            <v>Tully Motors - Tully</v>
          </cell>
          <cell r="B241">
            <v>7</v>
          </cell>
          <cell r="C241">
            <v>177143.68000000005</v>
          </cell>
        </row>
        <row r="242">
          <cell r="A242" t="str">
            <v>Valley Ag - Singleton</v>
          </cell>
          <cell r="B242">
            <v>2</v>
          </cell>
          <cell r="C242">
            <v>70328.180000000008</v>
          </cell>
        </row>
        <row r="243">
          <cell r="A243" t="str">
            <v>W (Bill) Cornish Holdings - Gilgandra</v>
          </cell>
          <cell r="B243">
            <v>5</v>
          </cell>
          <cell r="C243">
            <v>358667.13</v>
          </cell>
        </row>
        <row r="244">
          <cell r="A244" t="str">
            <v>W (Bill) Cornish Holdings - Tamworth</v>
          </cell>
          <cell r="B244">
            <v>2</v>
          </cell>
          <cell r="C244">
            <v>119961.71000000002</v>
          </cell>
        </row>
        <row r="245">
          <cell r="A245" t="str">
            <v>W M Johnson &amp; Co</v>
          </cell>
          <cell r="B245">
            <v>2</v>
          </cell>
          <cell r="C245">
            <v>46627.880000000019</v>
          </cell>
        </row>
        <row r="246">
          <cell r="A246" t="str">
            <v>Wanneroo Ag Mach - Wanneroo</v>
          </cell>
          <cell r="B246">
            <v>4</v>
          </cell>
          <cell r="C246">
            <v>60632.660000000033</v>
          </cell>
        </row>
        <row r="247">
          <cell r="A247" t="str">
            <v>Wd Lewis &amp; Co</v>
          </cell>
          <cell r="B247">
            <v>12</v>
          </cell>
          <cell r="C247">
            <v>1621846.5899999999</v>
          </cell>
        </row>
        <row r="248">
          <cell r="A248" t="str">
            <v>Wheat Ridge-Sunrise Ag Mildura</v>
          </cell>
          <cell r="B248">
            <v>20</v>
          </cell>
          <cell r="C248">
            <v>2978019.9299999997</v>
          </cell>
        </row>
        <row r="249">
          <cell r="A249" t="str">
            <v>Wheat Ridge - Sunrise Ag Ouyen</v>
          </cell>
          <cell r="B249">
            <v>11</v>
          </cell>
          <cell r="C249">
            <v>1021678.4700000001</v>
          </cell>
        </row>
        <row r="250">
          <cell r="A250" t="str">
            <v>Wheat Ridge - Sunrise Ag Swan Hill</v>
          </cell>
          <cell r="B250">
            <v>55</v>
          </cell>
          <cell r="C250">
            <v>5877996.4500000002</v>
          </cell>
        </row>
        <row r="251">
          <cell r="A251" t="str">
            <v>Wideland Ag - Dalby</v>
          </cell>
          <cell r="B251">
            <v>11</v>
          </cell>
          <cell r="C251">
            <v>1173611.5599999998</v>
          </cell>
        </row>
        <row r="252">
          <cell r="A252" t="str">
            <v>Wideland Ag - Toowoomba</v>
          </cell>
          <cell r="B252">
            <v>28</v>
          </cell>
          <cell r="C252">
            <v>2314780.8099999996</v>
          </cell>
        </row>
        <row r="253">
          <cell r="A253" t="str">
            <v>Williams Estate - Atherton</v>
          </cell>
          <cell r="B253">
            <v>9</v>
          </cell>
          <cell r="C253">
            <v>370935.98</v>
          </cell>
        </row>
        <row r="254">
          <cell r="A254" t="str">
            <v>Williams Estate - Innisfail</v>
          </cell>
          <cell r="B254">
            <v>5</v>
          </cell>
          <cell r="C254">
            <v>187382.42999999996</v>
          </cell>
        </row>
        <row r="255">
          <cell r="A255" t="str">
            <v>Wise Farm Equipment</v>
          </cell>
          <cell r="B255">
            <v>24</v>
          </cell>
          <cell r="C255">
            <v>2973149.33</v>
          </cell>
        </row>
        <row r="256">
          <cell r="B256">
            <v>4387</v>
          </cell>
          <cell r="C256">
            <v>343183216.41000032</v>
          </cell>
        </row>
      </sheetData>
      <sheetData sheetId="11"/>
      <sheetData sheetId="12">
        <row r="1">
          <cell r="A1" t="str">
            <v>New v Used</v>
          </cell>
          <cell r="B1" t="str">
            <v>Count</v>
          </cell>
          <cell r="C1" t="str">
            <v>Principal</v>
          </cell>
        </row>
        <row r="2">
          <cell r="A2" t="str">
            <v>New</v>
          </cell>
          <cell r="B2">
            <v>3526</v>
          </cell>
          <cell r="C2">
            <v>289675694.81</v>
          </cell>
        </row>
        <row r="3">
          <cell r="A3" t="str">
            <v>Used</v>
          </cell>
          <cell r="B3">
            <v>861</v>
          </cell>
          <cell r="C3">
            <v>53507521.600000046</v>
          </cell>
        </row>
        <row r="4">
          <cell r="B4">
            <v>4387</v>
          </cell>
          <cell r="C4">
            <v>343183216.41000003</v>
          </cell>
        </row>
      </sheetData>
      <sheetData sheetId="13">
        <row r="1">
          <cell r="A1" t="str">
            <v>Loan Type</v>
          </cell>
          <cell r="B1" t="str">
            <v>Count</v>
          </cell>
          <cell r="C1" t="str">
            <v>Principal</v>
          </cell>
        </row>
        <row r="2">
          <cell r="A2" t="str">
            <v>Finance Lease</v>
          </cell>
          <cell r="B2">
            <v>46</v>
          </cell>
          <cell r="C2">
            <v>5136428.49</v>
          </cell>
        </row>
        <row r="3">
          <cell r="A3" t="str">
            <v>Goods Mortgage</v>
          </cell>
          <cell r="B3">
            <v>4309</v>
          </cell>
          <cell r="C3">
            <v>333209206.54000002</v>
          </cell>
        </row>
        <row r="4">
          <cell r="A4" t="str">
            <v>Hire Purchase</v>
          </cell>
          <cell r="B4">
            <v>32</v>
          </cell>
          <cell r="C4">
            <v>4837581.38</v>
          </cell>
        </row>
        <row r="5">
          <cell r="B5">
            <v>4387</v>
          </cell>
          <cell r="C5">
            <v>343183216.41000003</v>
          </cell>
        </row>
      </sheetData>
      <sheetData sheetId="14">
        <row r="1">
          <cell r="A1" t="str">
            <v>Loan Type</v>
          </cell>
          <cell r="B1" t="str">
            <v>Count</v>
          </cell>
          <cell r="C1" t="str">
            <v>Principal</v>
          </cell>
        </row>
        <row r="2">
          <cell r="A2" t="str">
            <v>01. 10% to 20%</v>
          </cell>
          <cell r="B2">
            <v>25</v>
          </cell>
          <cell r="C2">
            <v>917204.45</v>
          </cell>
        </row>
        <row r="3">
          <cell r="A3" t="str">
            <v>02. 21% to 30%</v>
          </cell>
          <cell r="B3">
            <v>85</v>
          </cell>
          <cell r="C3">
            <v>6329313.3899999997</v>
          </cell>
        </row>
        <row r="4">
          <cell r="A4" t="str">
            <v>03. 31% to 40%</v>
          </cell>
          <cell r="B4">
            <v>218</v>
          </cell>
          <cell r="C4">
            <v>19389458.119999994</v>
          </cell>
        </row>
        <row r="5">
          <cell r="A5" t="str">
            <v>04. 41% to 50%</v>
          </cell>
          <cell r="B5">
            <v>387</v>
          </cell>
          <cell r="C5">
            <v>34706194.550000012</v>
          </cell>
        </row>
        <row r="6">
          <cell r="A6" t="str">
            <v>05. 51% to 60%</v>
          </cell>
          <cell r="B6">
            <v>531</v>
          </cell>
          <cell r="C6">
            <v>46302307.070000023</v>
          </cell>
        </row>
        <row r="7">
          <cell r="A7" t="str">
            <v>06. 61% to 70%</v>
          </cell>
          <cell r="B7">
            <v>601</v>
          </cell>
          <cell r="C7">
            <v>54040803.109999999</v>
          </cell>
        </row>
        <row r="8">
          <cell r="A8" t="str">
            <v>07. 71% to 80%</v>
          </cell>
          <cell r="B8">
            <v>695</v>
          </cell>
          <cell r="C8">
            <v>55468764.689999908</v>
          </cell>
        </row>
        <row r="9">
          <cell r="A9" t="str">
            <v>08. 81% to 90%</v>
          </cell>
          <cell r="B9">
            <v>776</v>
          </cell>
          <cell r="C9">
            <v>55540311.640000001</v>
          </cell>
        </row>
        <row r="10">
          <cell r="A10" t="str">
            <v>09. 91% to 100%</v>
          </cell>
          <cell r="B10">
            <v>1069</v>
          </cell>
          <cell r="C10">
            <v>70488859.390000001</v>
          </cell>
        </row>
        <row r="11">
          <cell r="B11">
            <v>4387</v>
          </cell>
          <cell r="C11">
            <v>343183216.40999991</v>
          </cell>
        </row>
      </sheetData>
      <sheetData sheetId="15">
        <row r="1">
          <cell r="A1" t="str">
            <v>Contract Yield</v>
          </cell>
          <cell r="B1" t="str">
            <v>Count</v>
          </cell>
          <cell r="C1" t="str">
            <v>Principal</v>
          </cell>
        </row>
        <row r="2">
          <cell r="A2" t="str">
            <v>01. 0% to 1%</v>
          </cell>
          <cell r="B2">
            <v>224</v>
          </cell>
          <cell r="C2">
            <v>23326734.370000016</v>
          </cell>
        </row>
        <row r="3">
          <cell r="A3" t="str">
            <v>02. 1.01% to 2%</v>
          </cell>
          <cell r="B3">
            <v>201</v>
          </cell>
          <cell r="C3">
            <v>19315515.440000001</v>
          </cell>
        </row>
        <row r="4">
          <cell r="A4" t="str">
            <v>03. 2.01% to 3%</v>
          </cell>
          <cell r="B4">
            <v>734</v>
          </cell>
          <cell r="C4">
            <v>35133266.819999978</v>
          </cell>
        </row>
        <row r="5">
          <cell r="A5" t="str">
            <v>04. 3.01% to 4%</v>
          </cell>
          <cell r="B5">
            <v>205</v>
          </cell>
          <cell r="C5">
            <v>15153040.129999999</v>
          </cell>
        </row>
        <row r="6">
          <cell r="A6" t="str">
            <v>05. 4.01% to 5%</v>
          </cell>
          <cell r="B6">
            <v>259</v>
          </cell>
          <cell r="C6">
            <v>22473047.420000009</v>
          </cell>
        </row>
        <row r="7">
          <cell r="A7" t="str">
            <v>06. 5.01% to 6%</v>
          </cell>
          <cell r="B7">
            <v>615</v>
          </cell>
          <cell r="C7">
            <v>58457658.139999956</v>
          </cell>
        </row>
        <row r="8">
          <cell r="A8" t="str">
            <v>07. 6.01% to 7%</v>
          </cell>
          <cell r="B8">
            <v>704</v>
          </cell>
          <cell r="C8">
            <v>73905196.700000092</v>
          </cell>
        </row>
        <row r="9">
          <cell r="A9" t="str">
            <v>08. 7.01% to 8%</v>
          </cell>
          <cell r="B9">
            <v>468</v>
          </cell>
          <cell r="C9">
            <v>43996230.989999972</v>
          </cell>
        </row>
        <row r="10">
          <cell r="A10" t="str">
            <v>09. 8.01% to 9%</v>
          </cell>
          <cell r="B10">
            <v>533</v>
          </cell>
          <cell r="C10">
            <v>32096059.910000015</v>
          </cell>
        </row>
        <row r="11">
          <cell r="A11" t="str">
            <v>10. 9.01% to 10%</v>
          </cell>
          <cell r="B11">
            <v>225</v>
          </cell>
          <cell r="C11">
            <v>7129265.0099999979</v>
          </cell>
        </row>
        <row r="12">
          <cell r="A12" t="str">
            <v>11. 10.01% to 11%</v>
          </cell>
          <cell r="B12">
            <v>119</v>
          </cell>
          <cell r="C12">
            <v>4894119.7499999991</v>
          </cell>
        </row>
        <row r="13">
          <cell r="A13" t="str">
            <v>12. 11.01% to 12%</v>
          </cell>
          <cell r="B13">
            <v>50</v>
          </cell>
          <cell r="C13">
            <v>2862559.2199999988</v>
          </cell>
        </row>
        <row r="14">
          <cell r="A14" t="str">
            <v>13. &gt; 12%</v>
          </cell>
          <cell r="B14">
            <v>50</v>
          </cell>
          <cell r="C14">
            <v>4440522.5100000007</v>
          </cell>
        </row>
        <row r="15">
          <cell r="B15">
            <v>4387</v>
          </cell>
          <cell r="C15">
            <v>343183216.40999997</v>
          </cell>
        </row>
      </sheetData>
      <sheetData sheetId="16">
        <row r="1">
          <cell r="A1" t="str">
            <v>Remaining Term Band</v>
          </cell>
          <cell r="B1" t="str">
            <v>Count</v>
          </cell>
          <cell r="C1" t="str">
            <v>Principal</v>
          </cell>
        </row>
        <row r="2">
          <cell r="A2" t="str">
            <v>0 - 12 months</v>
          </cell>
          <cell r="B2">
            <v>531</v>
          </cell>
          <cell r="C2">
            <v>14139626.819999993</v>
          </cell>
        </row>
        <row r="3">
          <cell r="A3" t="str">
            <v>13 - 24 months</v>
          </cell>
          <cell r="B3">
            <v>1386</v>
          </cell>
          <cell r="C3">
            <v>63861203.38000004</v>
          </cell>
        </row>
        <row r="4">
          <cell r="A4" t="str">
            <v>25 - 36 months</v>
          </cell>
          <cell r="B4">
            <v>1284</v>
          </cell>
          <cell r="C4">
            <v>112802855.61</v>
          </cell>
        </row>
        <row r="5">
          <cell r="A5" t="str">
            <v>37 - 48 months</v>
          </cell>
          <cell r="B5">
            <v>1034</v>
          </cell>
          <cell r="C5">
            <v>133455595.03000005</v>
          </cell>
        </row>
        <row r="6">
          <cell r="A6" t="str">
            <v>49 - 60 months</v>
          </cell>
          <cell r="B6">
            <v>152</v>
          </cell>
          <cell r="C6">
            <v>18923935.570000004</v>
          </cell>
        </row>
        <row r="7">
          <cell r="B7">
            <v>4387</v>
          </cell>
          <cell r="C7">
            <v>343183216.41000009</v>
          </cell>
        </row>
      </sheetData>
      <sheetData sheetId="17">
        <row r="1">
          <cell r="A1" t="str">
            <v>Payment Frequency</v>
          </cell>
          <cell r="B1" t="str">
            <v>Count</v>
          </cell>
          <cell r="C1" t="str">
            <v>Principal</v>
          </cell>
        </row>
        <row r="2">
          <cell r="A2" t="str">
            <v>6 Consecutive</v>
          </cell>
          <cell r="B2">
            <v>25</v>
          </cell>
          <cell r="C2">
            <v>1602521.6400000001</v>
          </cell>
        </row>
        <row r="3">
          <cell r="A3" t="str">
            <v>Annual</v>
          </cell>
          <cell r="B3">
            <v>2353</v>
          </cell>
          <cell r="C3">
            <v>249269443.23000002</v>
          </cell>
        </row>
        <row r="4">
          <cell r="A4" t="str">
            <v>Monthly</v>
          </cell>
          <cell r="B4">
            <v>1578</v>
          </cell>
          <cell r="C4">
            <v>64193869.57000006</v>
          </cell>
        </row>
        <row r="5">
          <cell r="A5" t="str">
            <v>Quarterly</v>
          </cell>
          <cell r="B5">
            <v>53</v>
          </cell>
          <cell r="C5">
            <v>3312634.02</v>
          </cell>
        </row>
        <row r="6">
          <cell r="A6" t="str">
            <v>Semi Annual</v>
          </cell>
          <cell r="B6">
            <v>320</v>
          </cell>
          <cell r="C6">
            <v>22022558.990000006</v>
          </cell>
        </row>
        <row r="7">
          <cell r="A7" t="str">
            <v>Structured</v>
          </cell>
          <cell r="B7">
            <v>58</v>
          </cell>
          <cell r="C7">
            <v>2782188.9599999995</v>
          </cell>
        </row>
        <row r="8">
          <cell r="B8">
            <v>4387</v>
          </cell>
          <cell r="C8">
            <v>343183216.41000003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254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9" sqref="I9"/>
    </sheetView>
  </sheetViews>
  <sheetFormatPr defaultRowHeight="12.75"/>
  <cols>
    <col min="1" max="1" width="17.42578125" style="5" customWidth="1"/>
    <col min="2" max="2" width="36.7109375" style="1" customWidth="1"/>
    <col min="3" max="4" width="3" style="5" customWidth="1"/>
    <col min="5" max="5" width="17.140625" style="1" customWidth="1"/>
    <col min="6" max="6" width="15.85546875" style="103" customWidth="1"/>
    <col min="7" max="7" width="13.85546875" style="1" bestFit="1" customWidth="1"/>
    <col min="8" max="8" width="3" style="5" customWidth="1"/>
    <col min="9" max="9" width="17.140625" style="1" customWidth="1"/>
    <col min="10" max="10" width="15.85546875" style="103" customWidth="1"/>
    <col min="11" max="11" width="13.85546875" style="1" bestFit="1" customWidth="1"/>
    <col min="12" max="12" width="3" style="5" customWidth="1"/>
  </cols>
  <sheetData>
    <row r="1" spans="1:12">
      <c r="B1" s="18" t="s">
        <v>257</v>
      </c>
    </row>
    <row r="2" spans="1:12">
      <c r="B2" s="3" t="s">
        <v>20</v>
      </c>
      <c r="E2" s="3"/>
      <c r="I2" s="3"/>
    </row>
    <row r="4" spans="1:12">
      <c r="A4" s="49"/>
      <c r="B4" s="50" t="s">
        <v>21</v>
      </c>
      <c r="C4" s="51"/>
      <c r="D4" s="51"/>
      <c r="E4" s="52">
        <v>41639</v>
      </c>
      <c r="F4" s="112"/>
      <c r="G4" s="27"/>
      <c r="H4" s="51"/>
      <c r="I4" s="52">
        <v>41547</v>
      </c>
      <c r="J4" s="112"/>
      <c r="K4" s="27"/>
      <c r="L4" s="49"/>
    </row>
    <row r="5" spans="1:12" ht="13.5" thickBot="1"/>
    <row r="6" spans="1:12" ht="13.5" thickBot="1">
      <c r="B6" s="1" t="s">
        <v>22</v>
      </c>
      <c r="E6" s="88">
        <f>I13</f>
        <v>367572501.20999992</v>
      </c>
      <c r="F6" s="113"/>
      <c r="I6" s="88">
        <v>399999996.31</v>
      </c>
      <c r="J6" s="113"/>
    </row>
    <row r="7" spans="1:12">
      <c r="B7" s="1" t="s">
        <v>23</v>
      </c>
      <c r="E7" s="54">
        <f>[3]Sheet1!$B$2+[4]Sheet1!$B$2+[5]Sheet1!$B$2</f>
        <v>19784632.49000001</v>
      </c>
      <c r="F7" s="114"/>
      <c r="I7" s="54">
        <v>28316894.299999997</v>
      </c>
      <c r="J7" s="114"/>
    </row>
    <row r="8" spans="1:12">
      <c r="B8" s="1" t="s">
        <v>24</v>
      </c>
      <c r="E8" s="54">
        <f>MAX('[2]16 Jan 14'!H23-'Collateral Tables'!E7,0)</f>
        <v>4506158.3999999613</v>
      </c>
      <c r="F8" s="114"/>
      <c r="I8" s="54">
        <v>3783540.9800000787</v>
      </c>
      <c r="J8" s="114"/>
    </row>
    <row r="9" spans="1:12">
      <c r="A9" s="108">
        <f>SUM(I9)</f>
        <v>327059.82</v>
      </c>
      <c r="B9" s="1" t="s">
        <v>5</v>
      </c>
      <c r="E9" s="54">
        <f>'[2]16 Jan 14'!$H37</f>
        <v>98493.91</v>
      </c>
      <c r="F9" s="114"/>
      <c r="I9" s="54">
        <v>327059.82</v>
      </c>
      <c r="J9" s="114"/>
    </row>
    <row r="10" spans="1:12">
      <c r="A10" s="109"/>
      <c r="B10" s="1" t="s">
        <v>25</v>
      </c>
      <c r="E10" s="54"/>
      <c r="F10" s="114"/>
      <c r="I10" s="54"/>
      <c r="J10" s="114"/>
    </row>
    <row r="11" spans="1:12">
      <c r="A11" s="132"/>
      <c r="B11" s="5" t="s">
        <v>26</v>
      </c>
      <c r="E11" s="54"/>
      <c r="F11" s="115"/>
      <c r="I11" s="54"/>
      <c r="J11" s="115"/>
    </row>
    <row r="12" spans="1:12" ht="13.5" thickBot="1">
      <c r="A12" s="109"/>
      <c r="B12" s="5" t="s">
        <v>27</v>
      </c>
      <c r="E12" s="90"/>
      <c r="F12" s="114"/>
      <c r="G12" s="53"/>
      <c r="I12" s="90"/>
      <c r="J12" s="114"/>
      <c r="K12" s="53"/>
      <c r="L12" s="54"/>
    </row>
    <row r="13" spans="1:12" ht="13.5" thickBot="1">
      <c r="A13" s="109"/>
      <c r="B13" s="1" t="s">
        <v>28</v>
      </c>
      <c r="E13" s="89">
        <f>E6-E7-E8-E9+E10+E11-E12</f>
        <v>343183216.40999991</v>
      </c>
      <c r="F13" s="113"/>
      <c r="G13" s="53"/>
      <c r="I13" s="89">
        <v>367572501.20999992</v>
      </c>
      <c r="J13" s="113"/>
      <c r="K13" s="53"/>
      <c r="L13" s="54"/>
    </row>
    <row r="14" spans="1:12">
      <c r="A14" s="109"/>
      <c r="E14" s="53"/>
      <c r="I14" s="53"/>
    </row>
    <row r="15" spans="1:12">
      <c r="A15" s="110"/>
      <c r="B15" s="50" t="s">
        <v>29</v>
      </c>
      <c r="C15" s="51"/>
      <c r="D15" s="51"/>
      <c r="E15" s="52"/>
      <c r="F15" s="112"/>
      <c r="G15" s="52"/>
      <c r="H15" s="51"/>
      <c r="I15" s="52"/>
      <c r="J15" s="112"/>
      <c r="K15" s="52"/>
      <c r="L15" s="55"/>
    </row>
    <row r="16" spans="1:12">
      <c r="A16" s="109"/>
      <c r="B16" s="3"/>
      <c r="C16" s="56"/>
      <c r="D16" s="56"/>
      <c r="H16" s="56"/>
    </row>
    <row r="17" spans="1:14">
      <c r="A17" s="109"/>
      <c r="B17" s="3" t="s">
        <v>30</v>
      </c>
      <c r="C17" s="56"/>
      <c r="D17" s="56"/>
      <c r="H17" s="56"/>
    </row>
    <row r="18" spans="1:14">
      <c r="A18" s="109"/>
      <c r="B18" s="1" t="s">
        <v>31</v>
      </c>
      <c r="E18" s="57">
        <f>'[6]Servicer Recon'!$B$4</f>
        <v>4387</v>
      </c>
      <c r="I18" s="57">
        <v>4617</v>
      </c>
    </row>
    <row r="19" spans="1:14">
      <c r="A19" s="109"/>
      <c r="B19" s="1" t="s">
        <v>32</v>
      </c>
      <c r="E19" s="57">
        <f>'[6]Servicer Recon'!$B$5</f>
        <v>343183216.41000015</v>
      </c>
      <c r="I19" s="57">
        <v>367572501.21000028</v>
      </c>
    </row>
    <row r="20" spans="1:14">
      <c r="A20" s="109"/>
      <c r="B20" s="1" t="s">
        <v>33</v>
      </c>
      <c r="E20" s="57">
        <f>'[6]Servicer Recon'!$B$19</f>
        <v>228</v>
      </c>
      <c r="I20" s="57">
        <v>183</v>
      </c>
    </row>
    <row r="21" spans="1:14">
      <c r="A21" s="109"/>
      <c r="B21" s="1" t="s">
        <v>34</v>
      </c>
      <c r="E21" s="57">
        <f>'[6]Servicer Recon'!$B$20</f>
        <v>9069702.0300000031</v>
      </c>
      <c r="G21" s="140"/>
      <c r="I21" s="57">
        <v>8446613.110000005</v>
      </c>
      <c r="K21" s="140"/>
    </row>
    <row r="22" spans="1:14">
      <c r="A22" s="109"/>
      <c r="E22" s="58"/>
      <c r="G22" s="130"/>
      <c r="I22" s="58"/>
      <c r="K22" s="130"/>
      <c r="L22" s="131"/>
      <c r="M22" s="131"/>
      <c r="N22" s="131"/>
    </row>
    <row r="23" spans="1:14">
      <c r="A23" s="108">
        <f>SUM(I23)</f>
        <v>446.28363636364156</v>
      </c>
      <c r="B23" s="1" t="s">
        <v>35</v>
      </c>
      <c r="E23" s="91">
        <f>MAX('[6]Servicer Recon'!$C$16,0)</f>
        <v>94500</v>
      </c>
      <c r="G23" s="130"/>
      <c r="I23" s="91">
        <v>446.28363636364156</v>
      </c>
      <c r="K23" s="130"/>
      <c r="L23" s="131"/>
      <c r="M23" s="131"/>
      <c r="N23" s="131"/>
    </row>
    <row r="24" spans="1:14">
      <c r="B24" s="1" t="s">
        <v>36</v>
      </c>
      <c r="E24" s="91">
        <v>0</v>
      </c>
      <c r="G24" s="130"/>
      <c r="I24" s="91">
        <v>0</v>
      </c>
      <c r="K24" s="130"/>
      <c r="L24" s="131"/>
      <c r="M24" s="131"/>
      <c r="N24" s="131"/>
    </row>
    <row r="25" spans="1:14">
      <c r="A25" s="54"/>
      <c r="E25" s="5"/>
      <c r="G25" s="130"/>
      <c r="I25" s="5"/>
      <c r="K25" s="130"/>
      <c r="L25" s="131"/>
      <c r="M25" s="131"/>
      <c r="N25" s="131"/>
    </row>
    <row r="26" spans="1:14">
      <c r="A26" s="49"/>
      <c r="B26" s="1" t="s">
        <v>37</v>
      </c>
      <c r="E26" s="60">
        <f>'[7]Revised Base Table'!$W$4390</f>
        <v>51.719252312429639</v>
      </c>
      <c r="G26" s="130"/>
      <c r="I26" s="60">
        <v>51.33729628389451</v>
      </c>
      <c r="K26" s="130"/>
      <c r="L26" s="131"/>
      <c r="M26" s="131"/>
      <c r="N26" s="131"/>
    </row>
    <row r="27" spans="1:14">
      <c r="A27" s="49"/>
      <c r="B27" s="1" t="s">
        <v>38</v>
      </c>
      <c r="E27" s="60">
        <f>'[7]Revised Base Table'!$X$4390</f>
        <v>31.625494308828717</v>
      </c>
      <c r="I27" s="60">
        <v>33.937634820954983</v>
      </c>
    </row>
    <row r="28" spans="1:14">
      <c r="A28" s="49"/>
      <c r="B28" s="1" t="s">
        <v>107</v>
      </c>
      <c r="E28" s="60">
        <f>'[7]Revised Base Table'!$AI$4390</f>
        <v>2.8756254370488909E-2</v>
      </c>
      <c r="I28" s="61">
        <v>3.0683073715412873E-2</v>
      </c>
    </row>
    <row r="29" spans="1:14">
      <c r="A29" s="49"/>
      <c r="B29" s="1" t="s">
        <v>39</v>
      </c>
      <c r="E29" s="60">
        <f>E26-E27</f>
        <v>20.093758003600922</v>
      </c>
      <c r="I29" s="60">
        <v>17.399661462939527</v>
      </c>
    </row>
    <row r="30" spans="1:14">
      <c r="A30" s="49"/>
      <c r="B30" s="1" t="s">
        <v>40</v>
      </c>
      <c r="E30" s="91">
        <f>E19/E18</f>
        <v>78227.311695919794</v>
      </c>
      <c r="I30" s="91">
        <v>79612.844100065035</v>
      </c>
    </row>
    <row r="31" spans="1:14">
      <c r="A31" s="49"/>
      <c r="B31" s="1" t="s">
        <v>41</v>
      </c>
      <c r="E31" s="60">
        <f>'[7]Revised Base Table'!$AA$4390</f>
        <v>5.6768052315365471</v>
      </c>
      <c r="I31" s="61">
        <v>5.7023006689852697E-2</v>
      </c>
    </row>
    <row r="32" spans="1:14">
      <c r="A32" s="49"/>
      <c r="B32" s="83"/>
      <c r="E32" s="62"/>
      <c r="F32" s="116"/>
      <c r="I32" s="62"/>
      <c r="J32" s="116"/>
    </row>
    <row r="33" spans="1:12">
      <c r="A33" s="63"/>
      <c r="B33" s="64" t="s">
        <v>42</v>
      </c>
      <c r="C33" s="65"/>
      <c r="D33" s="65"/>
      <c r="E33" s="64"/>
      <c r="F33" s="117"/>
      <c r="G33" s="64"/>
      <c r="H33" s="65"/>
      <c r="I33" s="64"/>
      <c r="J33" s="117"/>
      <c r="K33" s="64"/>
      <c r="L33" s="65"/>
    </row>
    <row r="34" spans="1:12">
      <c r="A34" s="123" t="s">
        <v>250</v>
      </c>
      <c r="B34" s="1" t="s">
        <v>213</v>
      </c>
      <c r="C34" s="7"/>
      <c r="D34" s="7"/>
      <c r="E34" s="59">
        <f>IFERROR(VLOOKUP($A34,[8]Arrears!$A:$D,3,FALSE),0)</f>
        <v>4375</v>
      </c>
      <c r="F34" s="59">
        <f>IFERROR(VLOOKUP($A34,[8]Arrears!$A:$D,2,FALSE),0)</f>
        <v>439735.71</v>
      </c>
      <c r="G34" s="86">
        <f>F34/F$50</f>
        <v>1.2813438681530656E-3</v>
      </c>
      <c r="H34" s="7"/>
      <c r="I34" s="59">
        <v>4592</v>
      </c>
      <c r="J34" s="59">
        <v>151245.59999999998</v>
      </c>
      <c r="K34" s="86">
        <v>4.1147147706131298E-4</v>
      </c>
      <c r="L34" s="86"/>
    </row>
    <row r="35" spans="1:12">
      <c r="A35" s="123" t="s">
        <v>251</v>
      </c>
      <c r="B35" s="68" t="s">
        <v>214</v>
      </c>
      <c r="C35" s="28"/>
      <c r="D35" s="28"/>
      <c r="E35" s="59">
        <f>IFERROR(VLOOKUP($A35,[8]Arrears!$A:$D,3,FALSE),0)</f>
        <v>7</v>
      </c>
      <c r="F35" s="59">
        <f>IFERROR(VLOOKUP($A35,[8]Arrears!$A:$D,2,FALSE),0)</f>
        <v>47270.050000000017</v>
      </c>
      <c r="G35" s="86">
        <f t="shared" ref="G35:G39" si="0">F35/F$50</f>
        <v>1.3773998185134619E-4</v>
      </c>
      <c r="H35" s="28"/>
      <c r="I35" s="59">
        <v>12</v>
      </c>
      <c r="J35" s="59">
        <v>113514.01999999996</v>
      </c>
      <c r="K35" s="86">
        <v>3.0882076223419006E-4</v>
      </c>
      <c r="L35" s="67"/>
    </row>
    <row r="36" spans="1:12">
      <c r="A36" s="123" t="s">
        <v>252</v>
      </c>
      <c r="B36" s="68" t="s">
        <v>215</v>
      </c>
      <c r="C36" s="28"/>
      <c r="D36" s="28"/>
      <c r="E36" s="59">
        <f>IFERROR(VLOOKUP($A36,[8]Arrears!$A:$D,3,FALSE),0)</f>
        <v>5</v>
      </c>
      <c r="F36" s="59">
        <f>IFERROR(VLOOKUP($A36,[8]Arrears!$A:$D,2,FALSE),0)</f>
        <v>79546.5</v>
      </c>
      <c r="G36" s="86">
        <f t="shared" si="0"/>
        <v>2.3179018144338975E-4</v>
      </c>
      <c r="H36" s="28"/>
      <c r="I36" s="59">
        <v>6</v>
      </c>
      <c r="J36" s="59">
        <v>75092.269999999975</v>
      </c>
      <c r="K36" s="86">
        <v>2.0429240422721002E-4</v>
      </c>
      <c r="L36" s="67"/>
    </row>
    <row r="37" spans="1:12">
      <c r="A37" s="123" t="s">
        <v>253</v>
      </c>
      <c r="B37" s="1" t="s">
        <v>216</v>
      </c>
      <c r="E37" s="59">
        <f>IFERROR(VLOOKUP($A37,[8]Arrears!$A:$D,3,FALSE),0)</f>
        <v>0</v>
      </c>
      <c r="F37" s="59">
        <f>IFERROR(VLOOKUP($A37,[8]Arrears!$A:$D,2,FALSE),0)</f>
        <v>0</v>
      </c>
      <c r="G37" s="86">
        <f t="shared" si="0"/>
        <v>0</v>
      </c>
      <c r="I37" s="59">
        <v>4</v>
      </c>
      <c r="J37" s="59">
        <v>69228.5</v>
      </c>
      <c r="K37" s="86">
        <v>1.8833971467427225E-4</v>
      </c>
      <c r="L37" s="67"/>
    </row>
    <row r="38" spans="1:12">
      <c r="A38" s="123" t="s">
        <v>254</v>
      </c>
      <c r="B38" s="5" t="s">
        <v>110</v>
      </c>
      <c r="E38" s="59">
        <f>IFERROR(VLOOKUP($A38,[8]Arrears!$A:$D,3,FALSE),0)</f>
        <v>0</v>
      </c>
      <c r="F38" s="59">
        <f>IFERROR(VLOOKUP($A38,[8]Arrears!$A:$D,2,FALSE),0)</f>
        <v>0</v>
      </c>
      <c r="G38" s="86">
        <f t="shared" si="0"/>
        <v>0</v>
      </c>
      <c r="I38" s="59">
        <v>3</v>
      </c>
      <c r="J38" s="59">
        <v>96751.01999999999</v>
      </c>
      <c r="K38" s="86">
        <v>2.6321615376968745E-4</v>
      </c>
      <c r="L38" s="67"/>
    </row>
    <row r="39" spans="1:12" ht="13.5" thickBot="1">
      <c r="A39" s="123" t="s">
        <v>255</v>
      </c>
      <c r="B39" s="5" t="s">
        <v>109</v>
      </c>
      <c r="E39" s="59">
        <f>IFERROR(VLOOKUP($A39,[8]Arrears!$A:$D,3,FALSE),0)</f>
        <v>0</v>
      </c>
      <c r="F39" s="59">
        <f>IFERROR(VLOOKUP($A39,[8]Arrears!$A:$D,2,FALSE),0)</f>
        <v>0</v>
      </c>
      <c r="G39" s="86">
        <f t="shared" si="0"/>
        <v>0</v>
      </c>
      <c r="I39" s="59">
        <v>0</v>
      </c>
      <c r="J39" s="59">
        <v>0</v>
      </c>
      <c r="K39" s="86">
        <v>0</v>
      </c>
      <c r="L39" s="67"/>
    </row>
    <row r="40" spans="1:12" ht="13.5" thickBot="1">
      <c r="A40" s="49"/>
      <c r="B40" s="3" t="s">
        <v>43</v>
      </c>
      <c r="C40" s="56"/>
      <c r="D40" s="56"/>
      <c r="E40" s="69">
        <f>SUM(E34:E39)</f>
        <v>4387</v>
      </c>
      <c r="F40" s="69">
        <f>SUM(F34:F39)</f>
        <v>566552.26</v>
      </c>
      <c r="G40" s="136">
        <f>SUM(G34:G39)</f>
        <v>1.6508740314478015E-3</v>
      </c>
      <c r="H40" s="56"/>
      <c r="I40" s="69">
        <v>4617</v>
      </c>
      <c r="J40" s="69">
        <v>505831.40999999992</v>
      </c>
      <c r="K40" s="136">
        <v>1.3761405119666727E-3</v>
      </c>
      <c r="L40" s="70"/>
    </row>
    <row r="41" spans="1:12">
      <c r="A41" s="49"/>
      <c r="B41" s="1" t="s">
        <v>227</v>
      </c>
      <c r="E41" s="59"/>
      <c r="F41" s="119" t="s">
        <v>218</v>
      </c>
      <c r="G41" s="66">
        <f>SUM(G35:G39)</f>
        <v>3.6953016329473594E-4</v>
      </c>
      <c r="I41" s="59"/>
      <c r="J41" s="119" t="s">
        <v>218</v>
      </c>
      <c r="K41" s="66">
        <v>9.6466903490535977E-4</v>
      </c>
      <c r="L41" s="67"/>
    </row>
    <row r="42" spans="1:12">
      <c r="A42" s="63"/>
      <c r="E42" s="5"/>
      <c r="F42" s="118"/>
      <c r="I42" s="5"/>
      <c r="J42" s="118"/>
    </row>
    <row r="43" spans="1:12">
      <c r="A43" s="82" t="s">
        <v>108</v>
      </c>
      <c r="B43" s="64" t="s">
        <v>44</v>
      </c>
      <c r="C43" s="65"/>
      <c r="D43" s="65"/>
      <c r="E43" s="64"/>
      <c r="F43" s="117"/>
      <c r="G43" s="64"/>
      <c r="H43" s="65"/>
      <c r="I43" s="64"/>
      <c r="J43" s="117"/>
      <c r="K43" s="64"/>
      <c r="L43" s="65"/>
    </row>
    <row r="44" spans="1:12">
      <c r="A44" s="123" t="s">
        <v>250</v>
      </c>
      <c r="B44" s="1" t="s">
        <v>213</v>
      </c>
      <c r="C44" s="7"/>
      <c r="D44" s="7"/>
      <c r="E44" s="59">
        <f>IFERROR(VLOOKUP($A44,[8]Arrears!$A:$D,3,FALSE),0)</f>
        <v>4375</v>
      </c>
      <c r="F44" s="59">
        <f>IFERROR(VLOOKUP($A44,[8]Arrears!$A:$D,4,FALSE),0)</f>
        <v>342575641.11000001</v>
      </c>
      <c r="G44" s="78">
        <f>F44/F$50</f>
        <v>0.99822958912048265</v>
      </c>
      <c r="H44" s="7"/>
      <c r="I44" s="59">
        <v>4592</v>
      </c>
      <c r="J44" s="59">
        <v>366297114.92000002</v>
      </c>
      <c r="K44" s="78">
        <v>0.99653024563643466</v>
      </c>
      <c r="L44" s="86"/>
    </row>
    <row r="45" spans="1:12">
      <c r="A45" s="123" t="s">
        <v>251</v>
      </c>
      <c r="B45" s="68" t="s">
        <v>214</v>
      </c>
      <c r="C45" s="28"/>
      <c r="D45" s="28"/>
      <c r="E45" s="59">
        <f>IFERROR(VLOOKUP($A45,[8]Arrears!$A:$D,3,FALSE),0)</f>
        <v>7</v>
      </c>
      <c r="F45" s="59">
        <f>IFERROR(VLOOKUP($A45,[8]Arrears!$A:$D,4,FALSE),0)</f>
        <v>207562.01</v>
      </c>
      <c r="G45" s="78">
        <f t="shared" ref="G45:G49" si="1">F45/F$50</f>
        <v>6.0481398878209195E-4</v>
      </c>
      <c r="H45" s="28"/>
      <c r="I45" s="59">
        <v>12</v>
      </c>
      <c r="J45" s="59">
        <v>447641.17</v>
      </c>
      <c r="K45" s="78">
        <v>1.2178309545094492E-3</v>
      </c>
      <c r="L45" s="67"/>
    </row>
    <row r="46" spans="1:12">
      <c r="A46" s="123" t="s">
        <v>252</v>
      </c>
      <c r="B46" s="68" t="s">
        <v>215</v>
      </c>
      <c r="C46" s="28"/>
      <c r="D46" s="28"/>
      <c r="E46" s="59">
        <f>IFERROR(VLOOKUP($A46,[8]Arrears!$A:$D,3,FALSE),0)</f>
        <v>5</v>
      </c>
      <c r="F46" s="59">
        <f>IFERROR(VLOOKUP($A46,[8]Arrears!$A:$D,4,FALSE),0)</f>
        <v>400013.29000000004</v>
      </c>
      <c r="G46" s="78">
        <f t="shared" si="1"/>
        <v>1.1655968907351964E-3</v>
      </c>
      <c r="H46" s="28"/>
      <c r="I46" s="59">
        <v>6</v>
      </c>
      <c r="J46" s="59">
        <v>318477.56</v>
      </c>
      <c r="K46" s="78">
        <v>8.6643467330013539E-4</v>
      </c>
      <c r="L46" s="67"/>
    </row>
    <row r="47" spans="1:12">
      <c r="A47" s="123" t="s">
        <v>253</v>
      </c>
      <c r="B47" s="1" t="s">
        <v>216</v>
      </c>
      <c r="E47" s="59">
        <f>IFERROR(VLOOKUP($A47,[8]Arrears!$A:$D,3,FALSE),0)</f>
        <v>0</v>
      </c>
      <c r="F47" s="59">
        <f>IFERROR(VLOOKUP($A47,[8]Arrears!$A:$D,2,FALSE),0)</f>
        <v>0</v>
      </c>
      <c r="G47" s="78">
        <f t="shared" si="1"/>
        <v>0</v>
      </c>
      <c r="I47" s="59">
        <v>4</v>
      </c>
      <c r="J47" s="59">
        <v>167153.97</v>
      </c>
      <c r="K47" s="78">
        <v>4.547510204102626E-4</v>
      </c>
      <c r="L47" s="67"/>
    </row>
    <row r="48" spans="1:12">
      <c r="A48" s="123" t="s">
        <v>254</v>
      </c>
      <c r="B48" s="5" t="s">
        <v>110</v>
      </c>
      <c r="E48" s="59">
        <f>IFERROR(VLOOKUP($A48,[8]Arrears!$A:$D,3,FALSE),0)</f>
        <v>0</v>
      </c>
      <c r="F48" s="59">
        <f>IFERROR(VLOOKUP($A48,[8]Arrears!$A:$D,2,FALSE),0)</f>
        <v>0</v>
      </c>
      <c r="G48" s="78">
        <f t="shared" si="1"/>
        <v>0</v>
      </c>
      <c r="I48" s="59">
        <v>3</v>
      </c>
      <c r="J48" s="59">
        <v>342113.59</v>
      </c>
      <c r="K48" s="78">
        <v>9.3073771534542802E-4</v>
      </c>
      <c r="L48" s="67"/>
    </row>
    <row r="49" spans="1:12" ht="13.5" thickBot="1">
      <c r="A49" s="123" t="s">
        <v>255</v>
      </c>
      <c r="B49" s="5" t="s">
        <v>109</v>
      </c>
      <c r="E49" s="59">
        <f>IFERROR(VLOOKUP($A49,[8]Arrears!$A:$D,3,FALSE),0)</f>
        <v>0</v>
      </c>
      <c r="F49" s="59">
        <f>IFERROR(VLOOKUP($A49,[8]Arrears!$A:$D,2,FALSE),0)</f>
        <v>0</v>
      </c>
      <c r="G49" s="78">
        <f t="shared" si="1"/>
        <v>0</v>
      </c>
      <c r="I49" s="59">
        <v>0</v>
      </c>
      <c r="J49" s="59">
        <v>0</v>
      </c>
      <c r="K49" s="78">
        <v>0</v>
      </c>
      <c r="L49" s="67"/>
    </row>
    <row r="50" spans="1:12" ht="13.5" thickBot="1">
      <c r="A50" s="49"/>
      <c r="B50" s="3" t="s">
        <v>43</v>
      </c>
      <c r="C50" s="56"/>
      <c r="D50" s="56"/>
      <c r="E50" s="69">
        <f>SUM(E44:E49)</f>
        <v>4387</v>
      </c>
      <c r="F50" s="69">
        <f>SUM(F44:F49)</f>
        <v>343183216.41000003</v>
      </c>
      <c r="G50" s="136">
        <f>SUM(G44:G49)</f>
        <v>0.99999999999999989</v>
      </c>
      <c r="H50" s="56"/>
      <c r="I50" s="69">
        <v>4617</v>
      </c>
      <c r="J50" s="69">
        <v>367572501.21000004</v>
      </c>
      <c r="K50" s="136">
        <v>1</v>
      </c>
      <c r="L50" s="70"/>
    </row>
    <row r="51" spans="1:12">
      <c r="A51" s="49" t="s">
        <v>46</v>
      </c>
      <c r="F51" s="120" t="s">
        <v>218</v>
      </c>
      <c r="G51" s="66">
        <f>SUM(G45:G49)</f>
        <v>1.7704108795172885E-3</v>
      </c>
      <c r="J51" s="120" t="s">
        <v>218</v>
      </c>
      <c r="K51" s="66">
        <v>3.4697543635652753E-3</v>
      </c>
      <c r="L51" s="67"/>
    </row>
    <row r="52" spans="1:12">
      <c r="A52" s="49"/>
      <c r="F52" s="120" t="s">
        <v>219</v>
      </c>
      <c r="G52" s="66">
        <f>SUM(G47:G49)</f>
        <v>0</v>
      </c>
      <c r="J52" s="120" t="s">
        <v>219</v>
      </c>
      <c r="K52" s="66">
        <v>1.3854887357556906E-3</v>
      </c>
      <c r="L52" s="67"/>
    </row>
    <row r="53" spans="1:12">
      <c r="A53" s="49"/>
      <c r="F53" s="120"/>
      <c r="G53" s="66"/>
      <c r="J53" s="120"/>
      <c r="K53" s="66"/>
      <c r="L53" s="67"/>
    </row>
    <row r="54" spans="1:12">
      <c r="A54" s="49" t="s">
        <v>48</v>
      </c>
      <c r="B54" s="71" t="s">
        <v>45</v>
      </c>
      <c r="C54" s="72"/>
      <c r="D54" s="72"/>
      <c r="H54" s="72"/>
    </row>
    <row r="55" spans="1:12">
      <c r="A55" s="49" t="s">
        <v>46</v>
      </c>
      <c r="B55" s="1" t="s">
        <v>47</v>
      </c>
      <c r="E55" s="66">
        <f t="shared" ref="E55:E62" si="2">F55/F$63</f>
        <v>0.30462584249779701</v>
      </c>
      <c r="F55" s="114">
        <f>IFERROR(VLOOKUP($A55,[8]Geographic!$A:$C,3,FALSE),0)</f>
        <v>104542476.42999999</v>
      </c>
      <c r="I55" s="66">
        <v>0.30594728550096595</v>
      </c>
      <c r="J55" s="114">
        <v>112457808.97</v>
      </c>
    </row>
    <row r="56" spans="1:12">
      <c r="A56" s="49" t="s">
        <v>48</v>
      </c>
      <c r="B56" s="1" t="s">
        <v>49</v>
      </c>
      <c r="E56" s="66">
        <f t="shared" si="2"/>
        <v>0.17346335124640827</v>
      </c>
      <c r="F56" s="114">
        <f>IFERROR(VLOOKUP($A56,[8]Geographic!$A:$C,3,FALSE),0)</f>
        <v>59529710.80999995</v>
      </c>
      <c r="I56" s="66">
        <v>0.17560707835193193</v>
      </c>
      <c r="J56" s="114">
        <v>64548333.020000048</v>
      </c>
    </row>
    <row r="57" spans="1:12">
      <c r="A57" s="49" t="s">
        <v>50</v>
      </c>
      <c r="B57" s="1" t="s">
        <v>51</v>
      </c>
      <c r="E57" s="66">
        <f t="shared" si="2"/>
        <v>0.10914968331449117</v>
      </c>
      <c r="F57" s="114">
        <f>IFERROR(VLOOKUP($A57,[8]Geographic!$A:$C,3,FALSE),0)</f>
        <v>37458339.389999971</v>
      </c>
      <c r="I57" s="66">
        <v>0.11503991220997688</v>
      </c>
      <c r="J57" s="114">
        <v>42285508.270000011</v>
      </c>
    </row>
    <row r="58" spans="1:12">
      <c r="A58" s="49" t="s">
        <v>52</v>
      </c>
      <c r="B58" s="1" t="s">
        <v>53</v>
      </c>
      <c r="E58" s="66">
        <f t="shared" si="2"/>
        <v>0.20273041431863192</v>
      </c>
      <c r="F58" s="114">
        <f>IFERROR(VLOOKUP($A58,[8]Geographic!$A:$C,3,FALSE),0)</f>
        <v>69573675.649999991</v>
      </c>
      <c r="I58" s="66">
        <v>0.19643661234807192</v>
      </c>
      <c r="J58" s="114">
        <v>72204696.929999948</v>
      </c>
    </row>
    <row r="59" spans="1:12">
      <c r="A59" s="49" t="s">
        <v>54</v>
      </c>
      <c r="B59" s="1" t="s">
        <v>55</v>
      </c>
      <c r="E59" s="66">
        <f t="shared" si="2"/>
        <v>1.6685589872084282E-3</v>
      </c>
      <c r="F59" s="114">
        <f>IFERROR(VLOOKUP($A59,[8]Geographic!$A:$C,3,FALSE),0)</f>
        <v>572621.44000000018</v>
      </c>
      <c r="I59" s="66">
        <v>1.6681469859185394E-3</v>
      </c>
      <c r="J59" s="114">
        <v>613164.96000000008</v>
      </c>
    </row>
    <row r="60" spans="1:12">
      <c r="A60" s="49" t="s">
        <v>56</v>
      </c>
      <c r="B60" s="1" t="s">
        <v>57</v>
      </c>
      <c r="E60" s="66">
        <f t="shared" si="2"/>
        <v>7.7193157279436457E-4</v>
      </c>
      <c r="F60" s="114">
        <f>IFERROR(VLOOKUP($A60,[8]Geographic!$A:$C,3,FALSE),0)</f>
        <v>264913.95999999996</v>
      </c>
      <c r="I60" s="66">
        <v>8.1428923277641842E-4</v>
      </c>
      <c r="J60" s="114">
        <v>299310.32999999996</v>
      </c>
    </row>
    <row r="61" spans="1:12">
      <c r="A61" s="49" t="s">
        <v>58</v>
      </c>
      <c r="B61" s="1" t="s">
        <v>59</v>
      </c>
      <c r="E61" s="66">
        <f t="shared" si="2"/>
        <v>1.0762703807715622E-2</v>
      </c>
      <c r="F61" s="114">
        <f>IFERROR(VLOOKUP($A61,[8]Geographic!$A:$C,3,FALSE),0)</f>
        <v>3693579.3099999996</v>
      </c>
      <c r="I61" s="66">
        <v>1.1006060019948898E-2</v>
      </c>
      <c r="J61" s="114">
        <v>4045525.0099999984</v>
      </c>
    </row>
    <row r="62" spans="1:12" ht="13.5" thickBot="1">
      <c r="A62" s="49" t="s">
        <v>60</v>
      </c>
      <c r="B62" s="1" t="s">
        <v>61</v>
      </c>
      <c r="E62" s="66">
        <f t="shared" si="2"/>
        <v>0.19682751425495335</v>
      </c>
      <c r="F62" s="114">
        <f>IFERROR(VLOOKUP($A62,[8]Geographic!$A:$C,3,FALSE),0)</f>
        <v>67547899.419999987</v>
      </c>
      <c r="I62" s="66">
        <v>0.19348061535040967</v>
      </c>
      <c r="J62" s="114">
        <v>71118153.719999984</v>
      </c>
    </row>
    <row r="63" spans="1:12" ht="13.5" thickBot="1">
      <c r="A63" s="49"/>
      <c r="B63" s="3" t="s">
        <v>43</v>
      </c>
      <c r="C63" s="56"/>
      <c r="D63" s="56"/>
      <c r="E63" s="133">
        <f>SUM(E55:E62)</f>
        <v>1</v>
      </c>
      <c r="F63" s="121">
        <f>SUM(F55:F62)</f>
        <v>343183216.40999985</v>
      </c>
      <c r="H63" s="56"/>
      <c r="I63" s="133">
        <v>1.0000000000000002</v>
      </c>
      <c r="J63" s="121">
        <v>367572501.20999992</v>
      </c>
    </row>
    <row r="64" spans="1:12">
      <c r="A64" s="73" t="s">
        <v>63</v>
      </c>
      <c r="E64" s="66"/>
      <c r="I64" s="66"/>
    </row>
    <row r="65" spans="1:11">
      <c r="A65" s="73" t="s">
        <v>65</v>
      </c>
      <c r="B65" s="71" t="s">
        <v>62</v>
      </c>
      <c r="C65" s="72"/>
      <c r="D65" s="72"/>
      <c r="E65" s="66"/>
      <c r="H65" s="72"/>
      <c r="I65" s="66"/>
    </row>
    <row r="66" spans="1:11">
      <c r="A66" s="105" t="s">
        <v>139</v>
      </c>
      <c r="B66" s="1" t="s">
        <v>64</v>
      </c>
      <c r="E66" s="66">
        <f>F66/F$69</f>
        <v>0.97916386563188684</v>
      </c>
      <c r="F66" s="114">
        <f>IFERROR(VLOOKUP($A66,'[8]Top Industry'!$A:$C,3,FALSE),)</f>
        <v>336032604.80000001</v>
      </c>
      <c r="I66" s="66">
        <v>0.97644352275674418</v>
      </c>
      <c r="J66" s="114">
        <v>358913787.94999999</v>
      </c>
    </row>
    <row r="67" spans="1:11">
      <c r="A67" s="105" t="s">
        <v>140</v>
      </c>
      <c r="B67" s="1" t="s">
        <v>66</v>
      </c>
      <c r="E67" s="66">
        <f>F67/F$69</f>
        <v>2.0836134368113105E-2</v>
      </c>
      <c r="F67" s="114">
        <f>IFERROR(VLOOKUP($A67,'[8]Top Industry'!$A:$C,3,FALSE),)</f>
        <v>7150611.6099999985</v>
      </c>
      <c r="I67" s="66">
        <v>2.3556477243255856E-2</v>
      </c>
      <c r="J67" s="114">
        <v>8658713.2599999998</v>
      </c>
    </row>
    <row r="68" spans="1:11" ht="13.5" thickBot="1">
      <c r="A68" s="105" t="s">
        <v>149</v>
      </c>
      <c r="B68" s="1" t="s">
        <v>201</v>
      </c>
      <c r="E68" s="66">
        <f>F68/F$69</f>
        <v>0</v>
      </c>
      <c r="F68" s="114">
        <f>IFERROR(VLOOKUP($A68,'[8]Top Industry'!$A:$C,3,FALSE),)</f>
        <v>0</v>
      </c>
      <c r="I68" s="66">
        <v>0</v>
      </c>
      <c r="J68" s="114">
        <v>0</v>
      </c>
    </row>
    <row r="69" spans="1:11" ht="13.5" thickBot="1">
      <c r="A69" s="106"/>
      <c r="B69" s="3" t="s">
        <v>43</v>
      </c>
      <c r="C69" s="56"/>
      <c r="D69" s="56"/>
      <c r="E69" s="133">
        <f>SUM(E66:E68)</f>
        <v>1</v>
      </c>
      <c r="F69" s="121">
        <f>SUM(F66:F68)</f>
        <v>343183216.41000003</v>
      </c>
      <c r="H69" s="56"/>
      <c r="I69" s="133">
        <v>1</v>
      </c>
      <c r="J69" s="121">
        <v>367572501.20999998</v>
      </c>
    </row>
    <row r="70" spans="1:11">
      <c r="A70" s="107" t="s">
        <v>68</v>
      </c>
      <c r="E70" s="66"/>
      <c r="I70" s="66"/>
    </row>
    <row r="71" spans="1:11">
      <c r="A71" s="107" t="s">
        <v>69</v>
      </c>
      <c r="B71" s="71" t="s">
        <v>67</v>
      </c>
      <c r="C71" s="72"/>
      <c r="D71" s="72"/>
      <c r="E71" s="66"/>
      <c r="H71" s="72"/>
      <c r="I71" s="66"/>
    </row>
    <row r="72" spans="1:11">
      <c r="A72" s="107" t="s">
        <v>228</v>
      </c>
      <c r="B72" s="1" t="s">
        <v>111</v>
      </c>
      <c r="E72" s="66">
        <f t="shared" ref="E72:E73" si="3">IFERROR(F72/F$107,0)</f>
        <v>8.7623455547598025E-2</v>
      </c>
      <c r="F72" s="114">
        <f>IFERROR(VLOOKUP($A72,[8]Collateral!$A:$C,3,FALSE),"")</f>
        <v>30067418.989999987</v>
      </c>
      <c r="I72" s="66">
        <v>8.9918451612853542E-2</v>
      </c>
      <c r="J72" s="114">
        <v>33059288.450000003</v>
      </c>
    </row>
    <row r="73" spans="1:11">
      <c r="A73" s="105" t="s">
        <v>124</v>
      </c>
      <c r="B73" s="1" t="s">
        <v>124</v>
      </c>
      <c r="E73" s="66">
        <f t="shared" si="3"/>
        <v>0.1245816068646441</v>
      </c>
      <c r="F73" s="114">
        <f>IFERROR(VLOOKUP($A73,[8]Collateral!$A:$C,3,FALSE),"")</f>
        <v>42749368.290000014</v>
      </c>
      <c r="I73" s="66">
        <v>0.1233070393158724</v>
      </c>
      <c r="J73" s="114">
        <v>45334888.530000031</v>
      </c>
    </row>
    <row r="74" spans="1:11">
      <c r="A74" s="105" t="s">
        <v>122</v>
      </c>
      <c r="B74" s="1" t="s">
        <v>122</v>
      </c>
      <c r="E74" s="66">
        <f>IFERROR(F74/F$107,0)</f>
        <v>0</v>
      </c>
      <c r="F74" s="114" t="str">
        <f>IFERROR(VLOOKUP($A74,[8]Collateral!$A:$C,3,FALSE),"")</f>
        <v/>
      </c>
      <c r="I74" s="66">
        <v>0</v>
      </c>
      <c r="J74" s="114" t="s">
        <v>278</v>
      </c>
    </row>
    <row r="75" spans="1:11">
      <c r="A75" s="107" t="s">
        <v>229</v>
      </c>
      <c r="B75" s="1" t="s">
        <v>112</v>
      </c>
      <c r="E75" s="66">
        <f t="shared" ref="E75:E106" si="4">IFERROR(F75/F$107,0)</f>
        <v>9.5112862543643029E-3</v>
      </c>
      <c r="F75" s="114">
        <f>IFERROR(VLOOKUP($A75,[8]Collateral!$A:$C,3,FALSE),"")</f>
        <v>3263736.0300000003</v>
      </c>
      <c r="I75" s="66">
        <v>1.0298926695894554E-2</v>
      </c>
      <c r="J75" s="114">
        <v>3786488.56</v>
      </c>
    </row>
    <row r="76" spans="1:11">
      <c r="A76" s="107" t="s">
        <v>146</v>
      </c>
      <c r="B76" s="1" t="s">
        <v>146</v>
      </c>
      <c r="E76" s="66">
        <f t="shared" si="4"/>
        <v>1.3384916324903811E-4</v>
      </c>
      <c r="F76" s="114">
        <f>IFERROR(VLOOKUP($A76,[8]Collateral!$A:$C,3,FALSE),"")</f>
        <v>45929.47</v>
      </c>
      <c r="I76" s="66">
        <v>1.2765896157056084E-4</v>
      </c>
      <c r="J76" s="114">
        <v>46934.91</v>
      </c>
    </row>
    <row r="77" spans="1:11">
      <c r="A77" s="107" t="s">
        <v>230</v>
      </c>
      <c r="B77" s="1" t="s">
        <v>113</v>
      </c>
      <c r="E77" s="66">
        <f t="shared" si="4"/>
        <v>6.2184154973941315E-2</v>
      </c>
      <c r="F77" s="114">
        <f>IFERROR(VLOOKUP($A77,[8]Collateral!$A:$C,3,FALSE),"")</f>
        <v>21338088.419999991</v>
      </c>
      <c r="I77" s="66">
        <v>6.6011998063524785E-2</v>
      </c>
      <c r="J77" s="114">
        <v>24269876.16</v>
      </c>
    </row>
    <row r="78" spans="1:11">
      <c r="A78" s="105" t="s">
        <v>127</v>
      </c>
      <c r="B78" s="1" t="s">
        <v>127</v>
      </c>
      <c r="E78" s="66">
        <f t="shared" si="4"/>
        <v>8.2335594918440534E-4</v>
      </c>
      <c r="F78" s="114">
        <f>IFERROR(VLOOKUP($A78,[8]Collateral!$A:$C,3,FALSE),"")</f>
        <v>282529.24</v>
      </c>
      <c r="I78" s="66">
        <v>8.6852040077186568E-4</v>
      </c>
      <c r="J78" s="114">
        <v>319318.95999999996</v>
      </c>
    </row>
    <row r="79" spans="1:11">
      <c r="A79" s="105" t="s">
        <v>132</v>
      </c>
      <c r="B79" s="1" t="s">
        <v>132</v>
      </c>
      <c r="E79" s="66">
        <f t="shared" si="4"/>
        <v>3.6048004855360201E-2</v>
      </c>
      <c r="F79" s="114">
        <f>IFERROR(VLOOKUP($A79,[8]Collateral!$A:$C,3,FALSE),"")</f>
        <v>12369638.460000001</v>
      </c>
      <c r="I79" s="66">
        <v>3.9300310659156019E-2</v>
      </c>
      <c r="J79" s="114">
        <v>14449095.630000001</v>
      </c>
    </row>
    <row r="80" spans="1:11">
      <c r="A80" s="105" t="s">
        <v>120</v>
      </c>
      <c r="B80" s="5" t="s">
        <v>120</v>
      </c>
      <c r="E80" s="66">
        <f t="shared" si="4"/>
        <v>0</v>
      </c>
      <c r="F80" s="114" t="str">
        <f>IFERROR(VLOOKUP($A80,[8]Collateral!$A:$C,3,FALSE),"")</f>
        <v/>
      </c>
      <c r="G80" s="5"/>
      <c r="I80" s="66">
        <v>0</v>
      </c>
      <c r="J80" s="114" t="s">
        <v>278</v>
      </c>
      <c r="K80" s="5"/>
    </row>
    <row r="81" spans="1:11">
      <c r="A81" s="105" t="s">
        <v>121</v>
      </c>
      <c r="B81" s="1" t="s">
        <v>121</v>
      </c>
      <c r="E81" s="66">
        <f t="shared" si="4"/>
        <v>0.38120910326133511</v>
      </c>
      <c r="F81" s="114">
        <f>IFERROR(VLOOKUP($A81,[8]Collateral!$A:$C,3,FALSE),"")</f>
        <v>130809424.9300002</v>
      </c>
      <c r="I81" s="66">
        <v>0.37264571209175645</v>
      </c>
      <c r="J81" s="114">
        <v>137006385.9500002</v>
      </c>
    </row>
    <row r="82" spans="1:11">
      <c r="A82" s="105" t="s">
        <v>147</v>
      </c>
      <c r="B82" s="1" t="s">
        <v>147</v>
      </c>
      <c r="E82" s="66">
        <f t="shared" si="4"/>
        <v>0</v>
      </c>
      <c r="F82" s="114" t="str">
        <f>IFERROR(VLOOKUP($A82,[8]Collateral!$A:$C,3,FALSE),"")</f>
        <v/>
      </c>
      <c r="I82" s="66">
        <v>0</v>
      </c>
      <c r="J82" s="114" t="s">
        <v>278</v>
      </c>
    </row>
    <row r="83" spans="1:11">
      <c r="A83" s="107" t="s">
        <v>131</v>
      </c>
      <c r="B83" s="5" t="s">
        <v>131</v>
      </c>
      <c r="E83" s="66">
        <f t="shared" si="4"/>
        <v>7.2975341775279501E-4</v>
      </c>
      <c r="F83" s="114">
        <f>IFERROR(VLOOKUP($A83,[8]Collateral!$A:$C,3,FALSE),"")</f>
        <v>250410.13999999984</v>
      </c>
      <c r="G83" s="5"/>
      <c r="I83" s="66">
        <v>7.1059588521620812E-4</v>
      </c>
      <c r="J83" s="114">
        <v>261256.65999999986</v>
      </c>
      <c r="K83" s="5"/>
    </row>
    <row r="84" spans="1:11">
      <c r="A84" s="107" t="s">
        <v>133</v>
      </c>
      <c r="B84" s="1" t="s">
        <v>133</v>
      </c>
      <c r="E84" s="66">
        <f t="shared" si="4"/>
        <v>1.5865264944282321E-3</v>
      </c>
      <c r="F84" s="114">
        <f>IFERROR(VLOOKUP($A84,[8]Collateral!$A:$C,3,FALSE),"")</f>
        <v>544406.25</v>
      </c>
      <c r="I84" s="66">
        <v>1.5803517257390951E-3</v>
      </c>
      <c r="J84" s="114">
        <v>581029.84000000008</v>
      </c>
    </row>
    <row r="85" spans="1:11">
      <c r="A85" s="105" t="s">
        <v>126</v>
      </c>
      <c r="B85" s="1" t="s">
        <v>126</v>
      </c>
      <c r="E85" s="66">
        <f t="shared" si="4"/>
        <v>2.1698071788135178E-2</v>
      </c>
      <c r="F85" s="114">
        <f>IFERROR(VLOOKUP($A85,[8]Collateral!$A:$C,3,FALSE),"")</f>
        <v>7445552.2399999974</v>
      </c>
      <c r="I85" s="66">
        <v>2.1460230402348207E-2</v>
      </c>
      <c r="J85" s="114">
        <v>7890037.4099999974</v>
      </c>
    </row>
    <row r="86" spans="1:11">
      <c r="A86" s="105" t="s">
        <v>118</v>
      </c>
      <c r="B86" s="1" t="s">
        <v>118</v>
      </c>
      <c r="E86" s="66">
        <f t="shared" si="4"/>
        <v>5.0821682860507597E-4</v>
      </c>
      <c r="F86" s="114">
        <f>IFERROR(VLOOKUP($A86,[8]Collateral!$A:$C,3,FALSE),"")</f>
        <v>174391.3</v>
      </c>
      <c r="I86" s="66">
        <v>5.2727424577352837E-4</v>
      </c>
      <c r="J86" s="114">
        <v>193856.88999999998</v>
      </c>
    </row>
    <row r="87" spans="1:11">
      <c r="A87" s="105" t="s">
        <v>134</v>
      </c>
      <c r="B87" s="1" t="s">
        <v>134</v>
      </c>
      <c r="E87" s="66">
        <f t="shared" si="4"/>
        <v>6.8752475799320023E-4</v>
      </c>
      <c r="F87" s="114">
        <f>IFERROR(VLOOKUP($A87,[8]Collateral!$A:$C,3,FALSE),"")</f>
        <v>235919.65000000011</v>
      </c>
      <c r="I87" s="66">
        <v>6.8179720854193756E-4</v>
      </c>
      <c r="J87" s="114">
        <v>250668.58000000013</v>
      </c>
    </row>
    <row r="88" spans="1:11">
      <c r="A88" s="105" t="s">
        <v>135</v>
      </c>
      <c r="B88" s="1" t="s">
        <v>135</v>
      </c>
      <c r="E88" s="66">
        <f t="shared" si="4"/>
        <v>1.0644175447826629E-2</v>
      </c>
      <c r="F88" s="114">
        <f>IFERROR(VLOOKUP($A88,[8]Collateral!$A:$C,3,FALSE),"")</f>
        <v>3652479.5899999994</v>
      </c>
      <c r="I88" s="66">
        <v>1.2932368141216314E-2</v>
      </c>
      <c r="J88" s="114">
        <v>4754695.8499999996</v>
      </c>
    </row>
    <row r="89" spans="1:11">
      <c r="A89" s="105" t="s">
        <v>136</v>
      </c>
      <c r="B89" s="1" t="s">
        <v>136</v>
      </c>
      <c r="E89" s="66">
        <f t="shared" si="4"/>
        <v>1.9367128185578931E-3</v>
      </c>
      <c r="F89" s="114">
        <f>IFERROR(VLOOKUP($A89,[8]Collateral!$A:$C,3,FALSE),"")</f>
        <v>664570.41</v>
      </c>
      <c r="I89" s="66">
        <v>2.2214069208371019E-3</v>
      </c>
      <c r="J89" s="114">
        <v>816719.27</v>
      </c>
    </row>
    <row r="90" spans="1:11">
      <c r="A90" s="105" t="s">
        <v>119</v>
      </c>
      <c r="B90" s="1" t="s">
        <v>119</v>
      </c>
      <c r="E90" s="66">
        <f t="shared" si="4"/>
        <v>3.9864526368841067E-4</v>
      </c>
      <c r="F90" s="114">
        <f>IFERROR(VLOOKUP($A90,[8]Collateral!$A:$C,3,FALSE),"")</f>
        <v>136792.53000000003</v>
      </c>
      <c r="I90" s="66">
        <v>3.8570743449030788E-4</v>
      </c>
      <c r="J90" s="114">
        <v>141808.64000000001</v>
      </c>
    </row>
    <row r="91" spans="1:11">
      <c r="A91" s="105" t="s">
        <v>74</v>
      </c>
      <c r="B91" s="1" t="s">
        <v>74</v>
      </c>
      <c r="E91" s="66">
        <f t="shared" si="4"/>
        <v>6.8535309510094631E-3</v>
      </c>
      <c r="F91" s="114">
        <f>IFERROR(VLOOKUP($A91,[8]Collateral!$A:$C,3,FALSE),"")</f>
        <v>2351744.58</v>
      </c>
      <c r="I91" s="66">
        <v>6.8944005520632581E-3</v>
      </c>
      <c r="J91" s="114">
        <v>2534785.3799999994</v>
      </c>
    </row>
    <row r="92" spans="1:11">
      <c r="A92" s="105" t="s">
        <v>206</v>
      </c>
      <c r="B92" s="1" t="s">
        <v>207</v>
      </c>
      <c r="E92" s="66">
        <f t="shared" si="4"/>
        <v>1.3862337873748745E-3</v>
      </c>
      <c r="F92" s="114">
        <f>IFERROR(VLOOKUP($A92,[8]Collateral!$A:$C,3,FALSE),"")</f>
        <v>475677.1100000001</v>
      </c>
      <c r="I92" s="66">
        <v>1.4580108234005986E-3</v>
      </c>
      <c r="J92" s="114">
        <v>536050.16</v>
      </c>
    </row>
    <row r="93" spans="1:11">
      <c r="A93" s="105" t="s">
        <v>137</v>
      </c>
      <c r="B93" s="1" t="s">
        <v>137</v>
      </c>
      <c r="E93" s="66">
        <f t="shared" si="4"/>
        <v>7.5045006231700328E-3</v>
      </c>
      <c r="F93" s="114">
        <f>IFERROR(VLOOKUP($A93,[8]Collateral!$A:$C,3,FALSE),"")</f>
        <v>2575120.59</v>
      </c>
      <c r="I93" s="66">
        <v>7.3747272985226755E-3</v>
      </c>
      <c r="J93" s="114">
        <v>2711381.6199999996</v>
      </c>
    </row>
    <row r="94" spans="1:11">
      <c r="A94" s="105" t="s">
        <v>75</v>
      </c>
      <c r="B94" s="1" t="s">
        <v>75</v>
      </c>
      <c r="E94" s="66">
        <f t="shared" si="4"/>
        <v>1.0168738812014238E-3</v>
      </c>
      <c r="F94" s="114">
        <f>IFERROR(VLOOKUP($A94,[8]Collateral!$A:$C,3,FALSE),"")</f>
        <v>348933.66</v>
      </c>
      <c r="I94" s="66">
        <v>1.0129081990045133E-3</v>
      </c>
      <c r="J94" s="114">
        <v>372404.37</v>
      </c>
    </row>
    <row r="95" spans="1:11">
      <c r="A95" s="105" t="s">
        <v>71</v>
      </c>
      <c r="B95" s="1" t="s">
        <v>71</v>
      </c>
      <c r="E95" s="66">
        <f t="shared" si="4"/>
        <v>6.5461804378795759E-3</v>
      </c>
      <c r="F95" s="114">
        <f>IFERROR(VLOOKUP($A95,[8]Collateral!$A:$C,3,FALSE),"")</f>
        <v>2246279.2499999995</v>
      </c>
      <c r="I95" s="66">
        <v>6.5390135594409577E-3</v>
      </c>
      <c r="J95" s="114">
        <v>2404124.3099999996</v>
      </c>
    </row>
    <row r="96" spans="1:11">
      <c r="A96" s="105" t="s">
        <v>138</v>
      </c>
      <c r="B96" s="1" t="s">
        <v>138</v>
      </c>
      <c r="E96" s="66">
        <f t="shared" si="4"/>
        <v>1.2226235181230223E-3</v>
      </c>
      <c r="F96" s="114">
        <f>IFERROR(VLOOKUP($A96,[8]Collateral!$A:$C,3,FALSE),"")</f>
        <v>419535.31</v>
      </c>
      <c r="I96" s="66">
        <v>1.2439409266735096E-3</v>
      </c>
      <c r="J96" s="114">
        <v>457345.52999999997</v>
      </c>
    </row>
    <row r="97" spans="1:11">
      <c r="A97" s="107" t="s">
        <v>73</v>
      </c>
      <c r="B97" s="1" t="s">
        <v>73</v>
      </c>
      <c r="E97" s="66">
        <f t="shared" si="4"/>
        <v>2.5686840832021161E-3</v>
      </c>
      <c r="F97" s="114">
        <f>IFERROR(VLOOKUP($A97,[8]Collateral!$A:$C,3,FALSE),"")</f>
        <v>881427.24</v>
      </c>
      <c r="I97" s="66">
        <v>2.7089929841990915E-3</v>
      </c>
      <c r="J97" s="114">
        <v>995984.46</v>
      </c>
    </row>
    <row r="98" spans="1:11">
      <c r="A98" s="105" t="s">
        <v>70</v>
      </c>
      <c r="B98" s="1" t="s">
        <v>70</v>
      </c>
      <c r="E98" s="66">
        <f t="shared" si="4"/>
        <v>0</v>
      </c>
      <c r="F98" s="114" t="str">
        <f>IFERROR(VLOOKUP($A98,[8]Collateral!$A:$C,3,FALSE),"")</f>
        <v/>
      </c>
      <c r="I98" s="66">
        <v>0</v>
      </c>
      <c r="J98" s="114" t="s">
        <v>278</v>
      </c>
    </row>
    <row r="99" spans="1:11">
      <c r="A99" s="107" t="s">
        <v>114</v>
      </c>
      <c r="B99" s="1" t="s">
        <v>114</v>
      </c>
      <c r="E99" s="66">
        <f t="shared" si="4"/>
        <v>0.19241350059726964</v>
      </c>
      <c r="F99" s="114">
        <f>IFERROR(VLOOKUP($A99,[8]Collateral!$A:$C,3,FALSE),"")</f>
        <v>66025441.539999962</v>
      </c>
      <c r="I99" s="66">
        <v>0.18879115664699647</v>
      </c>
      <c r="J99" s="114">
        <v>69410684.819999933</v>
      </c>
    </row>
    <row r="100" spans="1:11">
      <c r="A100" s="105" t="s">
        <v>130</v>
      </c>
      <c r="B100" s="1" t="s">
        <v>130</v>
      </c>
      <c r="E100" s="66">
        <f t="shared" si="4"/>
        <v>3.6117630362419841E-5</v>
      </c>
      <c r="F100" s="114">
        <f>IFERROR(VLOOKUP($A100,[8]Collateral!$A:$C,3,FALSE),"")</f>
        <v>12393.529999999999</v>
      </c>
      <c r="I100" s="66">
        <v>3.7566512784961905E-5</v>
      </c>
      <c r="J100" s="114">
        <v>13811.65</v>
      </c>
    </row>
    <row r="101" spans="1:11">
      <c r="A101" s="105" t="s">
        <v>148</v>
      </c>
      <c r="B101" s="1" t="s">
        <v>148</v>
      </c>
      <c r="E101" s="66">
        <f t="shared" si="4"/>
        <v>1.0750429858233132E-3</v>
      </c>
      <c r="F101" s="114">
        <f>IFERROR(VLOOKUP($A101,[8]Collateral!$A:$C,3,FALSE),"")</f>
        <v>368894.00999999989</v>
      </c>
      <c r="I101" s="66">
        <v>1.0764334437073871E-3</v>
      </c>
      <c r="J101" s="114">
        <v>395759.9699999998</v>
      </c>
    </row>
    <row r="102" spans="1:11">
      <c r="A102" s="105" t="s">
        <v>72</v>
      </c>
      <c r="B102" s="5" t="s">
        <v>72</v>
      </c>
      <c r="E102" s="66">
        <f t="shared" si="4"/>
        <v>1.6916422266928743E-3</v>
      </c>
      <c r="F102" s="114">
        <f>IFERROR(VLOOKUP($A102,[8]Collateral!$A:$C,3,FALSE),"")</f>
        <v>580476.03000000014</v>
      </c>
      <c r="G102" s="5"/>
      <c r="I102" s="66">
        <v>1.8350795361410561E-3</v>
      </c>
      <c r="J102" s="114">
        <v>674682.7</v>
      </c>
      <c r="K102" s="5"/>
    </row>
    <row r="103" spans="1:11">
      <c r="A103" s="105" t="s">
        <v>123</v>
      </c>
      <c r="B103" s="5" t="s">
        <v>123</v>
      </c>
      <c r="E103" s="66">
        <f t="shared" si="4"/>
        <v>3.352257940917993E-2</v>
      </c>
      <c r="F103" s="114">
        <f>IFERROR(VLOOKUP($A103,[8]Collateral!$A:$C,3,FALSE),"")</f>
        <v>11503055.140000002</v>
      </c>
      <c r="G103" s="5"/>
      <c r="I103" s="66">
        <v>3.3795823318430528E-2</v>
      </c>
      <c r="J103" s="114">
        <v>12425323.740000008</v>
      </c>
      <c r="K103" s="5"/>
    </row>
    <row r="104" spans="1:11">
      <c r="A104" s="107" t="s">
        <v>129</v>
      </c>
      <c r="B104" s="1" t="s">
        <v>129</v>
      </c>
      <c r="E104" s="66">
        <f t="shared" si="4"/>
        <v>9.3951977074357128E-5</v>
      </c>
      <c r="F104" s="114">
        <f>IFERROR(VLOOKUP($A104,[8]Collateral!$A:$C,3,FALSE),"")</f>
        <v>32239.010000000009</v>
      </c>
      <c r="I104" s="66">
        <v>1.0514432190910992E-4</v>
      </c>
      <c r="J104" s="114">
        <v>38657.210000000021</v>
      </c>
    </row>
    <row r="105" spans="1:11">
      <c r="A105" s="105" t="s">
        <v>125</v>
      </c>
      <c r="B105" s="1" t="s">
        <v>125</v>
      </c>
      <c r="E105" s="66">
        <f t="shared" si="4"/>
        <v>3.3551931152915743E-3</v>
      </c>
      <c r="F105" s="114">
        <f>IFERROR(VLOOKUP($A105,[8]Collateral!$A:$C,3,FALSE),"")</f>
        <v>1151312.7000000004</v>
      </c>
      <c r="I105" s="66">
        <v>3.6676840041111065E-3</v>
      </c>
      <c r="J105" s="114">
        <v>1348455.4199999997</v>
      </c>
    </row>
    <row r="106" spans="1:11" ht="13.5" thickBot="1">
      <c r="A106" s="105" t="s">
        <v>128</v>
      </c>
      <c r="B106" s="1" t="s">
        <v>128</v>
      </c>
      <c r="E106" s="66">
        <f t="shared" si="4"/>
        <v>4.0890108968181474E-4</v>
      </c>
      <c r="F106" s="114">
        <f>IFERROR(VLOOKUP($A106,[8]Collateral!$A:$C,3,FALSE),"")</f>
        <v>140311.74999999997</v>
      </c>
      <c r="I106" s="66">
        <v>4.807681070520768E-4</v>
      </c>
      <c r="J106" s="114">
        <v>176758.50999999998</v>
      </c>
    </row>
    <row r="107" spans="1:11" ht="13.5" thickBot="1">
      <c r="A107" s="106"/>
      <c r="B107" s="3" t="s">
        <v>43</v>
      </c>
      <c r="C107" s="56"/>
      <c r="D107" s="56"/>
      <c r="E107" s="133">
        <f>SUM(E72:E106)</f>
        <v>1</v>
      </c>
      <c r="F107" s="121">
        <f>SUM(F72:F106)</f>
        <v>343143497.39000005</v>
      </c>
      <c r="H107" s="56"/>
      <c r="I107" s="133">
        <v>0.99999999999999989</v>
      </c>
      <c r="J107" s="121">
        <v>367658560.1400001</v>
      </c>
    </row>
    <row r="108" spans="1:11">
      <c r="A108" s="105" t="s">
        <v>87</v>
      </c>
      <c r="E108" s="66"/>
      <c r="I108" s="66"/>
    </row>
    <row r="109" spans="1:11">
      <c r="A109" s="84" t="s">
        <v>88</v>
      </c>
      <c r="B109" s="74" t="s">
        <v>158</v>
      </c>
      <c r="C109" s="75"/>
      <c r="D109" s="75"/>
      <c r="E109" s="66"/>
      <c r="H109" s="75"/>
      <c r="I109" s="66"/>
    </row>
    <row r="110" spans="1:11">
      <c r="A110" s="84" t="s">
        <v>231</v>
      </c>
      <c r="B110" s="76" t="s">
        <v>87</v>
      </c>
      <c r="E110" s="66">
        <f>IFERROR(F110/F$121,0)</f>
        <v>5.4787290493650498E-2</v>
      </c>
      <c r="F110" s="114">
        <f>IFERROR(VLOOKUP($A110,'[8]Balance Distribution'!$A:$C,3,FALSE),"")</f>
        <v>18802078.569999997</v>
      </c>
      <c r="I110" s="66">
        <v>5.1203005197734706E-2</v>
      </c>
      <c r="J110" s="114">
        <v>18820816.689999975</v>
      </c>
    </row>
    <row r="111" spans="1:11">
      <c r="A111" s="84" t="s">
        <v>232</v>
      </c>
      <c r="B111" s="76" t="s">
        <v>88</v>
      </c>
      <c r="E111" s="66">
        <f t="shared" ref="E111:E120" si="5">IFERROR(F111/F$121,0)</f>
        <v>0.10649840100669625</v>
      </c>
      <c r="F111" s="114">
        <f>IFERROR(VLOOKUP($A111,'[8]Balance Distribution'!$A:$C,3,FALSE),"")</f>
        <v>36548463.800000004</v>
      </c>
      <c r="I111" s="66">
        <v>0.10891893011095263</v>
      </c>
      <c r="J111" s="114">
        <v>40035603.570000038</v>
      </c>
    </row>
    <row r="112" spans="1:11">
      <c r="A112" s="84" t="s">
        <v>233</v>
      </c>
      <c r="B112" s="77" t="s">
        <v>89</v>
      </c>
      <c r="E112" s="66">
        <f t="shared" si="5"/>
        <v>9.9457484946532004E-2</v>
      </c>
      <c r="F112" s="114">
        <f>IFERROR(VLOOKUP($A112,'[8]Balance Distribution'!$A:$C,3,FALSE),"")</f>
        <v>34132139.580000013</v>
      </c>
      <c r="I112" s="66">
        <v>0.10035965214635163</v>
      </c>
      <c r="J112" s="114">
        <v>36889448.360000014</v>
      </c>
    </row>
    <row r="113" spans="1:12">
      <c r="A113" s="84" t="s">
        <v>234</v>
      </c>
      <c r="B113" s="76" t="s">
        <v>90</v>
      </c>
      <c r="E113" s="66">
        <f t="shared" si="5"/>
        <v>9.1573594853353243E-2</v>
      </c>
      <c r="F113" s="114">
        <f>IFERROR(VLOOKUP($A113,'[8]Balance Distribution'!$A:$C,3,FALSE),"")</f>
        <v>31426520.819999993</v>
      </c>
      <c r="I113" s="66">
        <v>8.6953044895324877E-2</v>
      </c>
      <c r="J113" s="114">
        <v>31961548.199999984</v>
      </c>
    </row>
    <row r="114" spans="1:12">
      <c r="A114" s="84" t="s">
        <v>235</v>
      </c>
      <c r="B114" s="76" t="s">
        <v>91</v>
      </c>
      <c r="E114" s="66">
        <f t="shared" si="5"/>
        <v>9.0804248313735347E-2</v>
      </c>
      <c r="F114" s="114">
        <f>IFERROR(VLOOKUP($A114,'[8]Balance Distribution'!$A:$C,3,FALSE),"")</f>
        <v>31162494.000000019</v>
      </c>
      <c r="I114" s="66">
        <v>9.1619316676684562E-2</v>
      </c>
      <c r="J114" s="114">
        <v>33676741.390000008</v>
      </c>
    </row>
    <row r="115" spans="1:12">
      <c r="A115" s="85" t="s">
        <v>236</v>
      </c>
      <c r="B115" s="76" t="s">
        <v>92</v>
      </c>
      <c r="E115" s="66">
        <f t="shared" si="5"/>
        <v>8.9654056488711956E-2</v>
      </c>
      <c r="F115" s="114">
        <f>IFERROR(VLOOKUP($A115,'[8]Balance Distribution'!$A:$C,3,FALSE),"")</f>
        <v>30767767.470000003</v>
      </c>
      <c r="I115" s="66">
        <v>9.1784657173593145E-2</v>
      </c>
      <c r="J115" s="114">
        <v>33737516.009999998</v>
      </c>
    </row>
    <row r="116" spans="1:12">
      <c r="A116" s="105" t="s">
        <v>237</v>
      </c>
      <c r="B116" s="76" t="s">
        <v>142</v>
      </c>
      <c r="E116" s="66">
        <f t="shared" si="5"/>
        <v>0.1672794451329328</v>
      </c>
      <c r="F116" s="114">
        <f>IFERROR(VLOOKUP($A116,'[8]Balance Distribution'!$A:$C,3,FALSE),"")</f>
        <v>57407498.020000003</v>
      </c>
      <c r="I116" s="66">
        <v>0.16863151189481226</v>
      </c>
      <c r="J116" s="114">
        <v>61984306.610000007</v>
      </c>
    </row>
    <row r="117" spans="1:12">
      <c r="A117" s="105" t="s">
        <v>238</v>
      </c>
      <c r="B117" s="76" t="s">
        <v>141</v>
      </c>
      <c r="E117" s="66">
        <f t="shared" si="5"/>
        <v>0.23213452068945239</v>
      </c>
      <c r="F117" s="114">
        <f>IFERROR(VLOOKUP($A117,'[8]Balance Distribution'!$A:$C,3,FALSE),"")</f>
        <v>79664671.449999973</v>
      </c>
      <c r="I117" s="66">
        <v>0.2317617934409352</v>
      </c>
      <c r="J117" s="114">
        <v>85189262.09999992</v>
      </c>
    </row>
    <row r="118" spans="1:12">
      <c r="A118" s="105" t="s">
        <v>239</v>
      </c>
      <c r="B118" s="76" t="s">
        <v>155</v>
      </c>
      <c r="E118" s="66">
        <f t="shared" si="5"/>
        <v>2.9833169224011229E-2</v>
      </c>
      <c r="F118" s="114">
        <f>IFERROR(VLOOKUP($A118,'[8]Balance Distribution'!$A:$C,3,FALSE),"")</f>
        <v>10238242.969999999</v>
      </c>
      <c r="I118" s="66">
        <v>2.8671342946786482E-2</v>
      </c>
      <c r="J118" s="114">
        <v>10538797.239999998</v>
      </c>
    </row>
    <row r="119" spans="1:12">
      <c r="A119" s="105" t="s">
        <v>240</v>
      </c>
      <c r="B119" s="76" t="s">
        <v>156</v>
      </c>
      <c r="E119" s="66">
        <f t="shared" si="5"/>
        <v>6.3606991997887012E-3</v>
      </c>
      <c r="F119" s="114">
        <f>IFERROR(VLOOKUP($A119,'[8]Balance Distribution'!$A:$C,3,FALSE),"")</f>
        <v>2182885.21</v>
      </c>
      <c r="I119" s="66">
        <v>4.6820749493900913E-3</v>
      </c>
      <c r="J119" s="114">
        <v>1721002</v>
      </c>
    </row>
    <row r="120" spans="1:12" ht="13.5" thickBot="1">
      <c r="A120" s="105" t="s">
        <v>241</v>
      </c>
      <c r="B120" s="76" t="s">
        <v>157</v>
      </c>
      <c r="E120" s="66">
        <f t="shared" si="5"/>
        <v>3.161708965113548E-2</v>
      </c>
      <c r="F120" s="114">
        <f>IFERROR(VLOOKUP($A120,'[8]Balance Distribution'!$A:$C,3,FALSE),"")</f>
        <v>10850454.52</v>
      </c>
      <c r="I120" s="66">
        <v>3.5414670567434317E-2</v>
      </c>
      <c r="J120" s="114">
        <v>13017459.040000001</v>
      </c>
    </row>
    <row r="121" spans="1:12" ht="13.5" thickBot="1">
      <c r="A121" s="107" t="s">
        <v>141</v>
      </c>
      <c r="B121" s="3" t="s">
        <v>43</v>
      </c>
      <c r="C121" s="56"/>
      <c r="D121" s="56"/>
      <c r="E121" s="133">
        <f>SUM(E110:E120)</f>
        <v>0.99999999999999989</v>
      </c>
      <c r="F121" s="139">
        <f>SUM(F110:F120)</f>
        <v>343183216.41000003</v>
      </c>
      <c r="G121" s="92"/>
      <c r="H121" s="56"/>
      <c r="I121" s="133">
        <v>1</v>
      </c>
      <c r="J121" s="139">
        <v>367572501.20999998</v>
      </c>
      <c r="K121" s="92"/>
      <c r="L121" s="93"/>
    </row>
    <row r="122" spans="1:12">
      <c r="A122" s="84" t="s">
        <v>77</v>
      </c>
      <c r="E122" s="66"/>
      <c r="I122" s="66"/>
    </row>
    <row r="123" spans="1:12">
      <c r="A123" s="84" t="s">
        <v>78</v>
      </c>
      <c r="B123" s="71" t="s">
        <v>76</v>
      </c>
      <c r="C123" s="56"/>
      <c r="D123" s="56"/>
      <c r="E123" s="66"/>
      <c r="H123" s="56"/>
      <c r="I123" s="66"/>
    </row>
    <row r="124" spans="1:12">
      <c r="A124" s="84" t="s">
        <v>77</v>
      </c>
      <c r="B124" s="1" t="s">
        <v>77</v>
      </c>
      <c r="E124" s="66">
        <f>IFERROR(F124/F$134,0)</f>
        <v>0.89977427964044865</v>
      </c>
      <c r="F124" s="114">
        <f>IFERROR(VLOOKUP($A124,[8]Residual!$A:$C,3,FALSE),"")</f>
        <v>308787431.32999998</v>
      </c>
      <c r="I124" s="66">
        <v>0.89658671487973141</v>
      </c>
      <c r="J124" s="114">
        <v>329560621.34000003</v>
      </c>
    </row>
    <row r="125" spans="1:12">
      <c r="A125" s="84" t="s">
        <v>78</v>
      </c>
      <c r="B125" s="1" t="s">
        <v>78</v>
      </c>
      <c r="E125" s="66">
        <f t="shared" ref="E125:E133" si="6">IFERROR(F125/F$134,0)</f>
        <v>0</v>
      </c>
      <c r="F125" s="114" t="str">
        <f>IFERROR(VLOOKUP($A125,[8]Residual!$A:$C,3,FALSE),"")</f>
        <v/>
      </c>
      <c r="I125" s="66">
        <v>0</v>
      </c>
      <c r="J125" s="114" t="s">
        <v>278</v>
      </c>
    </row>
    <row r="126" spans="1:12">
      <c r="A126" s="84" t="s">
        <v>242</v>
      </c>
      <c r="B126" s="1" t="s">
        <v>79</v>
      </c>
      <c r="E126" s="66">
        <f t="shared" si="6"/>
        <v>1.5719135558060486E-3</v>
      </c>
      <c r="F126" s="114">
        <f>IFERROR(VLOOKUP($A126,[8]Residual!$A:$C,3,FALSE),"")</f>
        <v>539454.34999999986</v>
      </c>
      <c r="I126" s="66">
        <v>1.5629147667708355E-3</v>
      </c>
      <c r="J126" s="114">
        <v>574484.48999999987</v>
      </c>
    </row>
    <row r="127" spans="1:12">
      <c r="A127" s="84" t="s">
        <v>80</v>
      </c>
      <c r="B127" s="1" t="s">
        <v>80</v>
      </c>
      <c r="E127" s="66">
        <f t="shared" si="6"/>
        <v>6.4865455638731364E-3</v>
      </c>
      <c r="F127" s="114">
        <f>IFERROR(VLOOKUP($A127,[8]Residual!$A:$C,3,FALSE),"")</f>
        <v>2226073.5700000003</v>
      </c>
      <c r="I127" s="66">
        <v>6.292321004390403E-3</v>
      </c>
      <c r="J127" s="114">
        <v>2312884.17</v>
      </c>
    </row>
    <row r="128" spans="1:12">
      <c r="A128" s="84" t="s">
        <v>81</v>
      </c>
      <c r="B128" s="1" t="s">
        <v>81</v>
      </c>
      <c r="E128" s="66">
        <f t="shared" si="6"/>
        <v>1.1437198039751306E-2</v>
      </c>
      <c r="F128" s="114">
        <f>IFERROR(VLOOKUP($A128,[8]Residual!$A:$C,3,FALSE),"")</f>
        <v>3925054.41</v>
      </c>
      <c r="I128" s="66">
        <v>1.0981686270632758E-2</v>
      </c>
      <c r="J128" s="114">
        <v>4036565.89</v>
      </c>
    </row>
    <row r="129" spans="1:10">
      <c r="A129" s="84" t="s">
        <v>82</v>
      </c>
      <c r="B129" s="1" t="s">
        <v>82</v>
      </c>
      <c r="E129" s="66">
        <f t="shared" si="6"/>
        <v>1.5499904877763718E-2</v>
      </c>
      <c r="F129" s="114">
        <f>IFERROR(VLOOKUP($A129,[8]Residual!$A:$C,3,FALSE),"")</f>
        <v>5319307.2100000009</v>
      </c>
      <c r="I129" s="66">
        <v>1.5467362823074335E-2</v>
      </c>
      <c r="J129" s="114">
        <v>5685377.2400000002</v>
      </c>
    </row>
    <row r="130" spans="1:10">
      <c r="A130" s="84" t="s">
        <v>83</v>
      </c>
      <c r="B130" s="1" t="s">
        <v>83</v>
      </c>
      <c r="E130" s="66">
        <f t="shared" si="6"/>
        <v>3.9348392154082368E-2</v>
      </c>
      <c r="F130" s="114">
        <f>IFERROR(VLOOKUP($A130,[8]Residual!$A:$C,3,FALSE),"")</f>
        <v>13503707.779999997</v>
      </c>
      <c r="I130" s="66">
        <v>3.9776527737712696E-2</v>
      </c>
      <c r="J130" s="114">
        <v>14620757.789999999</v>
      </c>
    </row>
    <row r="131" spans="1:10">
      <c r="A131" s="84" t="s">
        <v>84</v>
      </c>
      <c r="B131" s="1" t="s">
        <v>84</v>
      </c>
      <c r="E131" s="66">
        <f t="shared" si="6"/>
        <v>8.6910341688641191E-3</v>
      </c>
      <c r="F131" s="114">
        <f>IFERROR(VLOOKUP($A131,[8]Residual!$A:$C,3,FALSE),"")</f>
        <v>2982617.0599999996</v>
      </c>
      <c r="I131" s="66">
        <v>9.1264798616788757E-3</v>
      </c>
      <c r="J131" s="114">
        <v>3354643.0299999993</v>
      </c>
    </row>
    <row r="132" spans="1:10">
      <c r="A132" s="49" t="s">
        <v>85</v>
      </c>
      <c r="B132" s="1" t="s">
        <v>85</v>
      </c>
      <c r="E132" s="66">
        <f t="shared" si="6"/>
        <v>8.9963138124782623E-3</v>
      </c>
      <c r="F132" s="114">
        <f>IFERROR(VLOOKUP($A132,[8]Residual!$A:$C,3,FALSE),"")</f>
        <v>3087383.9099999997</v>
      </c>
      <c r="I132" s="66">
        <v>8.7230507707870102E-3</v>
      </c>
      <c r="J132" s="114">
        <v>3206353.5900000003</v>
      </c>
    </row>
    <row r="133" spans="1:10" ht="13.5" thickBot="1">
      <c r="A133" s="49" t="s">
        <v>243</v>
      </c>
      <c r="B133" s="1" t="s">
        <v>86</v>
      </c>
      <c r="E133" s="66">
        <f t="shared" si="6"/>
        <v>8.1944181869322182E-3</v>
      </c>
      <c r="F133" s="114">
        <f>IFERROR(VLOOKUP($A133,[8]Residual!$A:$C,3,FALSE),"")</f>
        <v>2812186.7899999996</v>
      </c>
      <c r="I133" s="66">
        <v>1.1482941885221663E-2</v>
      </c>
      <c r="J133" s="114">
        <v>4220813.67</v>
      </c>
    </row>
    <row r="134" spans="1:10" ht="13.5" thickBot="1">
      <c r="A134" s="49"/>
      <c r="E134" s="133">
        <f>SUM(E124:E133)</f>
        <v>0.99999999999999989</v>
      </c>
      <c r="F134" s="139">
        <f>SUM(F124:F133)</f>
        <v>343183216.41000003</v>
      </c>
      <c r="I134" s="133">
        <v>1</v>
      </c>
      <c r="J134" s="139">
        <v>367572501.21000004</v>
      </c>
    </row>
    <row r="135" spans="1:10">
      <c r="A135" s="73" t="s">
        <v>94</v>
      </c>
      <c r="E135" s="66"/>
      <c r="I135" s="66"/>
    </row>
    <row r="136" spans="1:10">
      <c r="A136" s="73" t="s">
        <v>95</v>
      </c>
      <c r="B136" s="71" t="s">
        <v>93</v>
      </c>
      <c r="C136" s="56"/>
      <c r="D136" s="56"/>
      <c r="E136" s="66"/>
      <c r="H136" s="56"/>
      <c r="I136" s="66"/>
    </row>
    <row r="137" spans="1:10">
      <c r="A137" s="107" t="str">
        <f t="shared" ref="A137:A138" si="7">RIGHT(B137,2)&amp;LEFT(B137,4)</f>
        <v>Q12013</v>
      </c>
      <c r="B137" s="1" t="s">
        <v>150</v>
      </c>
      <c r="E137" s="78">
        <f t="shared" ref="E137:E164" si="8">F137/F$166</f>
        <v>0</v>
      </c>
      <c r="F137" s="114">
        <f>IFERROR(VLOOKUP($A137,'[8]Maturity Quarter'!$A:$C,3,FALSE),0)</f>
        <v>0</v>
      </c>
      <c r="I137" s="78">
        <v>0</v>
      </c>
      <c r="J137" s="114">
        <v>0</v>
      </c>
    </row>
    <row r="138" spans="1:10">
      <c r="A138" s="107" t="str">
        <f t="shared" si="7"/>
        <v>Q22013</v>
      </c>
      <c r="B138" s="1" t="s">
        <v>151</v>
      </c>
      <c r="E138" s="78">
        <f t="shared" si="8"/>
        <v>0</v>
      </c>
      <c r="F138" s="114">
        <f>IFERROR(VLOOKUP($A138,'[8]Maturity Quarter'!$A:$C,3,FALSE),0)</f>
        <v>0</v>
      </c>
      <c r="I138" s="78">
        <v>0</v>
      </c>
      <c r="J138" s="114">
        <v>0</v>
      </c>
    </row>
    <row r="139" spans="1:10">
      <c r="A139" s="107" t="str">
        <f>RIGHT(B139,2)&amp;LEFT(B139,4)</f>
        <v>Q32013</v>
      </c>
      <c r="B139" s="1" t="s">
        <v>152</v>
      </c>
      <c r="E139" s="78">
        <f t="shared" si="8"/>
        <v>0</v>
      </c>
      <c r="F139" s="114">
        <f>IFERROR(VLOOKUP($A139,'[8]Maturity Quarter'!$A:$C,3,FALSE),0)</f>
        <v>0</v>
      </c>
      <c r="I139" s="78">
        <v>1.9384382064884884E-3</v>
      </c>
      <c r="J139" s="114">
        <v>712516.58000000007</v>
      </c>
    </row>
    <row r="140" spans="1:10">
      <c r="A140" s="107" t="str">
        <f t="shared" ref="A140:A164" si="9">RIGHT(B140,2)&amp;LEFT(B140,4)</f>
        <v>Q42013</v>
      </c>
      <c r="B140" s="1" t="s">
        <v>153</v>
      </c>
      <c r="E140" s="78">
        <f t="shared" si="8"/>
        <v>9.9281839468788103E-4</v>
      </c>
      <c r="F140" s="114">
        <f>IFERROR(VLOOKUP($A140,'[8]Maturity Quarter'!$A:$C,3,FALSE),0)</f>
        <v>340718.60999999987</v>
      </c>
      <c r="I140" s="78">
        <v>7.7275357668206458E-3</v>
      </c>
      <c r="J140" s="114">
        <v>2840429.65</v>
      </c>
    </row>
    <row r="141" spans="1:10">
      <c r="A141" s="107" t="str">
        <f t="shared" si="9"/>
        <v>Q12014</v>
      </c>
      <c r="B141" s="1" t="s">
        <v>154</v>
      </c>
      <c r="E141" s="78">
        <f t="shared" si="8"/>
        <v>1.2478739621356413E-2</v>
      </c>
      <c r="F141" s="114">
        <f>IFERROR(VLOOKUP($A141,'[8]Maturity Quarter'!$A:$C,3,FALSE),0)</f>
        <v>4282494</v>
      </c>
      <c r="I141" s="78">
        <v>1.4209148869425576E-2</v>
      </c>
      <c r="J141" s="114">
        <v>5222892.3900000025</v>
      </c>
    </row>
    <row r="142" spans="1:10">
      <c r="A142" s="107" t="str">
        <f t="shared" si="9"/>
        <v>Q22014</v>
      </c>
      <c r="B142" s="1" t="s">
        <v>208</v>
      </c>
      <c r="E142" s="78">
        <f t="shared" si="8"/>
        <v>7.4069642932746019E-3</v>
      </c>
      <c r="F142" s="114">
        <f>IFERROR(VLOOKUP($A142,'[8]Maturity Quarter'!$A:$C,3,FALSE),0)</f>
        <v>2541945.8300000005</v>
      </c>
      <c r="I142" s="78">
        <v>7.893864286497014E-3</v>
      </c>
      <c r="J142" s="114">
        <v>2901567.4399999995</v>
      </c>
    </row>
    <row r="143" spans="1:10">
      <c r="A143" s="107" t="str">
        <f t="shared" si="9"/>
        <v>Q32014</v>
      </c>
      <c r="B143" s="1" t="s">
        <v>209</v>
      </c>
      <c r="E143" s="78">
        <f t="shared" si="8"/>
        <v>6.8147145261496928E-3</v>
      </c>
      <c r="F143" s="114">
        <f>IFERROR(VLOOKUP($A143,'[8]Maturity Quarter'!$A:$C,3,FALSE),0)</f>
        <v>2338695.6500000008</v>
      </c>
      <c r="I143" s="78">
        <v>7.3839647717536053E-3</v>
      </c>
      <c r="J143" s="114">
        <v>2714142.3999999994</v>
      </c>
    </row>
    <row r="144" spans="1:10">
      <c r="A144" s="107" t="str">
        <f t="shared" si="9"/>
        <v>Q42014</v>
      </c>
      <c r="B144" s="1" t="s">
        <v>210</v>
      </c>
      <c r="E144" s="78">
        <f t="shared" si="8"/>
        <v>9.7498932640183184E-3</v>
      </c>
      <c r="F144" s="114">
        <f>IFERROR(VLOOKUP($A144,'[8]Maturity Quarter'!$A:$C,3,FALSE),0)</f>
        <v>3345999.73</v>
      </c>
      <c r="I144" s="78">
        <v>1.5131253621234401E-2</v>
      </c>
      <c r="J144" s="114">
        <v>5561832.7399999984</v>
      </c>
    </row>
    <row r="145" spans="1:10">
      <c r="A145" s="107" t="str">
        <f t="shared" si="9"/>
        <v>Q12015</v>
      </c>
      <c r="B145" s="1" t="s">
        <v>211</v>
      </c>
      <c r="E145" s="78">
        <f t="shared" si="8"/>
        <v>5.6435032874281442E-2</v>
      </c>
      <c r="F145" s="114">
        <f>IFERROR(VLOOKUP($A145,'[8]Maturity Quarter'!$A:$C,3,FALSE),0)</f>
        <v>19367556.099999994</v>
      </c>
      <c r="I145" s="78">
        <v>5.5697331880394267E-2</v>
      </c>
      <c r="J145" s="114">
        <v>20472807.589999992</v>
      </c>
    </row>
    <row r="146" spans="1:10">
      <c r="A146" s="107" t="str">
        <f t="shared" si="9"/>
        <v>Q22015</v>
      </c>
      <c r="B146" s="1" t="s">
        <v>220</v>
      </c>
      <c r="E146" s="78">
        <f t="shared" si="8"/>
        <v>3.6969209603894583E-2</v>
      </c>
      <c r="F146" s="114">
        <f>IFERROR(VLOOKUP($A146,'[8]Maturity Quarter'!$A:$C,3,FALSE),0)</f>
        <v>12687212.260000007</v>
      </c>
      <c r="I146" s="78">
        <v>3.8414431448268144E-2</v>
      </c>
      <c r="J146" s="114">
        <v>14120088.650000002</v>
      </c>
    </row>
    <row r="147" spans="1:10">
      <c r="A147" s="107" t="str">
        <f t="shared" si="9"/>
        <v>Q32015</v>
      </c>
      <c r="B147" s="1" t="s">
        <v>221</v>
      </c>
      <c r="E147" s="78">
        <f t="shared" si="8"/>
        <v>3.8821006573011935E-2</v>
      </c>
      <c r="F147" s="114">
        <f>IFERROR(VLOOKUP($A147,'[8]Maturity Quarter'!$A:$C,3,FALSE),0)</f>
        <v>13322717.899999989</v>
      </c>
      <c r="I147" s="78">
        <v>3.935613399364498E-2</v>
      </c>
      <c r="J147" s="114">
        <v>14466232.609999992</v>
      </c>
    </row>
    <row r="148" spans="1:10">
      <c r="A148" s="107" t="str">
        <f t="shared" si="9"/>
        <v>Q42015</v>
      </c>
      <c r="B148" s="1" t="s">
        <v>222</v>
      </c>
      <c r="E148" s="78">
        <f t="shared" si="8"/>
        <v>5.2590080828539311E-2</v>
      </c>
      <c r="F148" s="114">
        <f>IFERROR(VLOOKUP($A148,'[8]Maturity Quarter'!$A:$C,3,FALSE),0)</f>
        <v>18048033.09</v>
      </c>
      <c r="I148" s="78">
        <v>5.8858733525443067E-2</v>
      </c>
      <c r="J148" s="114">
        <v>21634851.899999987</v>
      </c>
    </row>
    <row r="149" spans="1:10">
      <c r="A149" s="107" t="str">
        <f t="shared" si="9"/>
        <v>Q12016</v>
      </c>
      <c r="B149" s="1" t="s">
        <v>223</v>
      </c>
      <c r="E149" s="78">
        <f t="shared" si="8"/>
        <v>0.16541271876239069</v>
      </c>
      <c r="F149" s="114">
        <f>IFERROR(VLOOKUP($A149,'[8]Maturity Quarter'!$A:$C,3,FALSE),0)</f>
        <v>56766868.859999999</v>
      </c>
      <c r="I149" s="78">
        <v>0.15973500405150182</v>
      </c>
      <c r="J149" s="114">
        <v>58714194.969999999</v>
      </c>
    </row>
    <row r="150" spans="1:10">
      <c r="A150" s="107" t="str">
        <f t="shared" si="9"/>
        <v>Q22016</v>
      </c>
      <c r="B150" s="1" t="s">
        <v>224</v>
      </c>
      <c r="E150" s="78">
        <f t="shared" si="8"/>
        <v>5.6859602559023614E-2</v>
      </c>
      <c r="F150" s="114">
        <f>IFERROR(VLOOKUP($A150,'[8]Maturity Quarter'!$A:$C,3,FALSE),0)</f>
        <v>19513261.289999992</v>
      </c>
      <c r="I150" s="78">
        <v>5.6388046281401517E-2</v>
      </c>
      <c r="J150" s="114">
        <v>20726695.209999993</v>
      </c>
    </row>
    <row r="151" spans="1:10">
      <c r="A151" s="107" t="str">
        <f t="shared" si="9"/>
        <v>Q32016</v>
      </c>
      <c r="B151" s="1" t="s">
        <v>225</v>
      </c>
      <c r="E151" s="78">
        <f t="shared" si="8"/>
        <v>5.47244416450803E-2</v>
      </c>
      <c r="F151" s="114">
        <f>IFERROR(VLOOKUP($A151,'[8]Maturity Quarter'!$A:$C,3,FALSE),0)</f>
        <v>18780509.90000001</v>
      </c>
      <c r="I151" s="78">
        <v>5.4185146207716771E-2</v>
      </c>
      <c r="J151" s="114">
        <v>19916969.719999999</v>
      </c>
    </row>
    <row r="152" spans="1:10">
      <c r="A152" s="107" t="str">
        <f t="shared" si="9"/>
        <v>Q42016</v>
      </c>
      <c r="B152" s="1" t="s">
        <v>226</v>
      </c>
      <c r="E152" s="78">
        <f t="shared" si="8"/>
        <v>5.4548757907889683E-2</v>
      </c>
      <c r="F152" s="114">
        <f>IFERROR(VLOOKUP($A152,'[8]Maturity Quarter'!$A:$C,3,FALSE),0)</f>
        <v>18720218.190000005</v>
      </c>
      <c r="I152" s="78">
        <v>5.5692637486786704E-2</v>
      </c>
      <c r="J152" s="114">
        <v>20471082.059999995</v>
      </c>
    </row>
    <row r="153" spans="1:10">
      <c r="A153" s="107" t="str">
        <f t="shared" si="9"/>
        <v>Q12017</v>
      </c>
      <c r="B153" s="1" t="s">
        <v>258</v>
      </c>
      <c r="E153" s="78">
        <f t="shared" si="8"/>
        <v>0.21682074067719995</v>
      </c>
      <c r="F153" s="114">
        <f>IFERROR(VLOOKUP($A153,'[8]Maturity Quarter'!$A:$C,3,FALSE),0)</f>
        <v>74409239.170000002</v>
      </c>
      <c r="I153" s="78">
        <v>0.20816143046099669</v>
      </c>
      <c r="J153" s="114">
        <v>76514417.650000036</v>
      </c>
    </row>
    <row r="154" spans="1:10">
      <c r="A154" s="107" t="str">
        <f t="shared" si="9"/>
        <v>Q22017</v>
      </c>
      <c r="B154" s="1" t="s">
        <v>259</v>
      </c>
      <c r="E154" s="78">
        <f t="shared" si="8"/>
        <v>0.10032623500697725</v>
      </c>
      <c r="F154" s="114">
        <f>IFERROR(VLOOKUP($A154,'[8]Maturity Quarter'!$A:$C,3,FALSE),0)</f>
        <v>34430280.019999996</v>
      </c>
      <c r="I154" s="78">
        <v>9.456932402606591E-2</v>
      </c>
      <c r="J154" s="114">
        <v>34761082.969999991</v>
      </c>
    </row>
    <row r="155" spans="1:10">
      <c r="A155" s="107" t="str">
        <f t="shared" si="9"/>
        <v>Q32017</v>
      </c>
      <c r="B155" s="1" t="s">
        <v>260</v>
      </c>
      <c r="E155" s="78">
        <f t="shared" si="8"/>
        <v>3.7589496668707451E-2</v>
      </c>
      <c r="F155" s="114">
        <f>IFERROR(VLOOKUP($A155,'[8]Maturity Quarter'!$A:$C,3,FALSE),0)</f>
        <v>12900084.370000005</v>
      </c>
      <c r="I155" s="78">
        <v>3.5962150831429993E-2</v>
      </c>
      <c r="J155" s="114">
        <v>13218697.730000002</v>
      </c>
    </row>
    <row r="156" spans="1:10">
      <c r="A156" s="107" t="str">
        <f t="shared" si="9"/>
        <v>Q42017</v>
      </c>
      <c r="B156" s="1" t="s">
        <v>261</v>
      </c>
      <c r="E156" s="78">
        <f t="shared" si="8"/>
        <v>3.4297506192546491E-2</v>
      </c>
      <c r="F156" s="114">
        <f>IFERROR(VLOOKUP($A156,'[8]Maturity Quarter'!$A:$C,3,FALSE),0)</f>
        <v>11770328.489999998</v>
      </c>
      <c r="I156" s="78">
        <v>3.4994581742803302E-2</v>
      </c>
      <c r="J156" s="114">
        <v>12863045.940000009</v>
      </c>
    </row>
    <row r="157" spans="1:10">
      <c r="A157" s="107" t="str">
        <f t="shared" si="9"/>
        <v>Q12018</v>
      </c>
      <c r="B157" s="1" t="s">
        <v>262</v>
      </c>
      <c r="E157" s="78">
        <f t="shared" si="8"/>
        <v>4.6867017414932446E-2</v>
      </c>
      <c r="F157" s="114">
        <f>IFERROR(VLOOKUP($A157,'[8]Maturity Quarter'!$A:$C,3,FALSE),0)</f>
        <v>16083973.780000001</v>
      </c>
      <c r="I157" s="78">
        <v>4.4013859352218229E-2</v>
      </c>
      <c r="J157" s="114">
        <v>16178284.370000003</v>
      </c>
    </row>
    <row r="158" spans="1:10">
      <c r="A158" s="107" t="str">
        <f t="shared" si="9"/>
        <v>Q22018</v>
      </c>
      <c r="B158" s="1" t="s">
        <v>263</v>
      </c>
      <c r="E158" s="78">
        <f t="shared" si="8"/>
        <v>8.8009969473320359E-3</v>
      </c>
      <c r="F158" s="114">
        <f>IFERROR(VLOOKUP($A158,'[8]Maturity Quarter'!$A:$C,3,FALSE),0)</f>
        <v>3020354.44</v>
      </c>
      <c r="I158" s="78">
        <v>8.2920890435671125E-3</v>
      </c>
      <c r="J158" s="114">
        <v>3047943.91</v>
      </c>
    </row>
    <row r="159" spans="1:10">
      <c r="A159" s="107" t="str">
        <f t="shared" si="9"/>
        <v>Q32018</v>
      </c>
      <c r="B159" s="1" t="s">
        <v>264</v>
      </c>
      <c r="E159" s="78">
        <f t="shared" si="8"/>
        <v>1.4223299003551639E-3</v>
      </c>
      <c r="F159" s="114">
        <f>IFERROR(VLOOKUP($A159,'[8]Maturity Quarter'!$A:$C,3,FALSE),0)</f>
        <v>488119.75</v>
      </c>
      <c r="I159" s="78">
        <v>1.3279550249084859E-3</v>
      </c>
      <c r="J159" s="114">
        <v>488119.75</v>
      </c>
    </row>
    <row r="160" spans="1:10">
      <c r="A160" s="107" t="str">
        <f t="shared" si="9"/>
        <v>Q42018</v>
      </c>
      <c r="B160" s="1" t="s">
        <v>265</v>
      </c>
      <c r="E160" s="78">
        <f t="shared" si="8"/>
        <v>7.169633835066251E-5</v>
      </c>
      <c r="F160" s="114">
        <f>IFERROR(VLOOKUP($A160,'[8]Maturity Quarter'!$A:$C,3,FALSE),0)</f>
        <v>24604.979999999996</v>
      </c>
      <c r="I160" s="78">
        <v>6.6939120633354398E-5</v>
      </c>
      <c r="J160" s="114">
        <v>24604.979999999996</v>
      </c>
    </row>
    <row r="161" spans="1:10">
      <c r="A161" s="107" t="str">
        <f t="shared" si="9"/>
        <v>Q12019</v>
      </c>
      <c r="B161" s="1" t="s">
        <v>266</v>
      </c>
      <c r="E161" s="78">
        <f t="shared" si="8"/>
        <v>0</v>
      </c>
      <c r="F161" s="114">
        <f>IFERROR(VLOOKUP($A161,'[8]Maturity Quarter'!$A:$C,3,FALSE),0)</f>
        <v>0</v>
      </c>
      <c r="I161" s="78">
        <v>0</v>
      </c>
      <c r="J161" s="114">
        <v>0</v>
      </c>
    </row>
    <row r="162" spans="1:10">
      <c r="A162" s="107" t="str">
        <f t="shared" si="9"/>
        <v>Q22019</v>
      </c>
      <c r="B162" s="1" t="s">
        <v>267</v>
      </c>
      <c r="E162" s="78">
        <f t="shared" si="8"/>
        <v>0</v>
      </c>
      <c r="F162" s="114">
        <f>IFERROR(VLOOKUP($A162,'[8]Maturity Quarter'!$A:$C,3,FALSE),0)</f>
        <v>0</v>
      </c>
      <c r="I162" s="78">
        <v>0</v>
      </c>
      <c r="J162" s="114">
        <v>0</v>
      </c>
    </row>
    <row r="163" spans="1:10">
      <c r="A163" s="107" t="str">
        <f t="shared" si="9"/>
        <v>Q32019</v>
      </c>
      <c r="B163" s="1" t="s">
        <v>268</v>
      </c>
      <c r="E163" s="78">
        <f t="shared" si="8"/>
        <v>0</v>
      </c>
      <c r="F163" s="114">
        <f>IFERROR(VLOOKUP($A163,'[8]Maturity Quarter'!$A:$C,3,FALSE),0)</f>
        <v>0</v>
      </c>
      <c r="I163" s="78">
        <v>0</v>
      </c>
      <c r="J163" s="114">
        <v>0</v>
      </c>
    </row>
    <row r="164" spans="1:10">
      <c r="A164" s="107" t="str">
        <f t="shared" si="9"/>
        <v>Q42019</v>
      </c>
      <c r="B164" s="1" t="s">
        <v>269</v>
      </c>
      <c r="E164" s="78">
        <f t="shared" si="8"/>
        <v>0</v>
      </c>
      <c r="F164" s="114">
        <f>IFERROR(VLOOKUP($A164,'[8]Maturity Quarter'!$A:$C,3,FALSE),0)</f>
        <v>0</v>
      </c>
      <c r="I164" s="78">
        <v>0</v>
      </c>
      <c r="J164" s="114">
        <v>0</v>
      </c>
    </row>
    <row r="165" spans="1:10" ht="13.5" thickBot="1">
      <c r="A165" s="49"/>
      <c r="E165" s="78"/>
      <c r="F165" s="114"/>
      <c r="I165" s="78"/>
      <c r="J165" s="114"/>
    </row>
    <row r="166" spans="1:10" ht="13.5" thickBot="1">
      <c r="A166" s="49"/>
      <c r="E166" s="79">
        <f>SUM(E137:E164)</f>
        <v>0.99999999999999989</v>
      </c>
      <c r="F166" s="121">
        <f>SUM(F137:F165)</f>
        <v>343183216.41000003</v>
      </c>
      <c r="I166" s="79">
        <v>1</v>
      </c>
      <c r="J166" s="121">
        <v>367572501.20999998</v>
      </c>
    </row>
    <row r="167" spans="1:10">
      <c r="A167" s="73" t="s">
        <v>97</v>
      </c>
      <c r="E167" s="66"/>
      <c r="I167" s="66"/>
    </row>
    <row r="168" spans="1:10">
      <c r="A168" s="73" t="s">
        <v>98</v>
      </c>
      <c r="B168" s="71" t="s">
        <v>96</v>
      </c>
      <c r="C168" s="56"/>
      <c r="D168" s="56"/>
      <c r="E168" s="66"/>
      <c r="H168" s="56"/>
      <c r="I168" s="66"/>
    </row>
    <row r="169" spans="1:10">
      <c r="A169" s="73" t="s">
        <v>97</v>
      </c>
      <c r="B169" s="1" t="s">
        <v>97</v>
      </c>
      <c r="E169" s="80">
        <f t="shared" ref="E169:E179" si="10">F169/F$180</f>
        <v>0</v>
      </c>
      <c r="F169" s="114">
        <f>IFERROR(VLOOKUP($A169,[8]Seasoning!$A:$C,3,FALSE),0)</f>
        <v>0</v>
      </c>
      <c r="I169" s="80">
        <v>3.2231018917357711E-2</v>
      </c>
      <c r="J169" s="114">
        <v>11847236.24</v>
      </c>
    </row>
    <row r="170" spans="1:10">
      <c r="A170" s="73" t="s">
        <v>98</v>
      </c>
      <c r="B170" s="1" t="s">
        <v>98</v>
      </c>
      <c r="E170" s="80">
        <f t="shared" si="10"/>
        <v>0.11850686226861448</v>
      </c>
      <c r="F170" s="114">
        <f>IFERROR(VLOOKUP($A170,[8]Seasoning!$A:$C,3,FALSE),0)</f>
        <v>40669566.159999982</v>
      </c>
      <c r="I170" s="80">
        <v>0.30516409905733294</v>
      </c>
      <c r="J170" s="114">
        <v>112169931.17000008</v>
      </c>
    </row>
    <row r="171" spans="1:10">
      <c r="A171" s="73" t="s">
        <v>99</v>
      </c>
      <c r="B171" s="1" t="s">
        <v>99</v>
      </c>
      <c r="E171" s="80">
        <f t="shared" si="10"/>
        <v>0.34434390695499212</v>
      </c>
      <c r="F171" s="114">
        <f>IFERROR(VLOOKUP($A171,[8]Seasoning!$A:$C,3,FALSE),0)</f>
        <v>118173049.53999995</v>
      </c>
      <c r="I171" s="80">
        <v>0.23779916566735287</v>
      </c>
      <c r="J171" s="114">
        <v>87408434.110000059</v>
      </c>
    </row>
    <row r="172" spans="1:10">
      <c r="A172" s="73" t="s">
        <v>100</v>
      </c>
      <c r="B172" s="1" t="s">
        <v>100</v>
      </c>
      <c r="E172" s="80">
        <f t="shared" si="10"/>
        <v>0.20200326480179243</v>
      </c>
      <c r="F172" s="114">
        <f>IFERROR(VLOOKUP($A172,[8]Seasoning!$A:$C,3,FALSE),0)</f>
        <v>69324130.14000006</v>
      </c>
      <c r="I172" s="80">
        <v>0.1990352718692702</v>
      </c>
      <c r="J172" s="114">
        <v>73159892.710000008</v>
      </c>
    </row>
    <row r="173" spans="1:10">
      <c r="A173" s="73" t="s">
        <v>101</v>
      </c>
      <c r="B173" s="1" t="s">
        <v>101</v>
      </c>
      <c r="E173" s="80">
        <f t="shared" si="10"/>
        <v>0.24757288835038813</v>
      </c>
      <c r="F173" s="114">
        <f>IFERROR(VLOOKUP($A173,[8]Seasoning!$A:$C,3,FALSE),0)</f>
        <v>84962860.120000005</v>
      </c>
      <c r="I173" s="80">
        <v>0.15768501889885947</v>
      </c>
      <c r="J173" s="114">
        <v>57960676.7999999</v>
      </c>
    </row>
    <row r="174" spans="1:10">
      <c r="A174" s="73" t="s">
        <v>102</v>
      </c>
      <c r="B174" s="1" t="s">
        <v>102</v>
      </c>
      <c r="E174" s="80">
        <f t="shared" si="10"/>
        <v>3.5859372607830738E-2</v>
      </c>
      <c r="F174" s="114">
        <f>IFERROR(VLOOKUP($A174,[8]Seasoning!$A:$C,3,FALSE),0)</f>
        <v>12306334.83</v>
      </c>
      <c r="I174" s="80">
        <v>2.6704697407143652E-2</v>
      </c>
      <c r="J174" s="114">
        <v>9815912.4199999943</v>
      </c>
    </row>
    <row r="175" spans="1:10">
      <c r="A175" s="73" t="s">
        <v>103</v>
      </c>
      <c r="B175" s="1" t="s">
        <v>103</v>
      </c>
      <c r="E175" s="80">
        <f t="shared" si="10"/>
        <v>3.1570164425104713E-2</v>
      </c>
      <c r="F175" s="114">
        <f>IFERROR(VLOOKUP($A175,[8]Seasoning!$A:$C,3,FALSE),0)</f>
        <v>10834350.569999993</v>
      </c>
      <c r="I175" s="80">
        <v>2.5765002465702271E-2</v>
      </c>
      <c r="J175" s="114">
        <v>9470506.4000000022</v>
      </c>
    </row>
    <row r="176" spans="1:10">
      <c r="A176" s="73" t="s">
        <v>104</v>
      </c>
      <c r="B176" s="1" t="s">
        <v>104</v>
      </c>
      <c r="E176" s="80">
        <f t="shared" si="10"/>
        <v>1.3709629652689808E-2</v>
      </c>
      <c r="F176" s="114">
        <f>IFERROR(VLOOKUP($A176,[8]Seasoning!$A:$C,3,FALSE),0)</f>
        <v>4704914.7999999989</v>
      </c>
      <c r="I176" s="80">
        <v>5.8951198549045559E-3</v>
      </c>
      <c r="J176" s="114">
        <v>2166883.9500000002</v>
      </c>
    </row>
    <row r="177" spans="1:10">
      <c r="A177" s="73" t="s">
        <v>105</v>
      </c>
      <c r="B177" s="1" t="s">
        <v>105</v>
      </c>
      <c r="E177" s="80">
        <f t="shared" si="10"/>
        <v>2.3794840509461616E-3</v>
      </c>
      <c r="F177" s="114">
        <f>IFERROR(VLOOKUP($A177,[8]Seasoning!$A:$C,3,FALSE),0)</f>
        <v>816598.99</v>
      </c>
      <c r="I177" s="80">
        <v>1.3750557735852991E-3</v>
      </c>
      <c r="J177" s="114">
        <v>505432.68999999989</v>
      </c>
    </row>
    <row r="178" spans="1:10">
      <c r="A178" s="73" t="s">
        <v>106</v>
      </c>
      <c r="B178" s="1" t="s">
        <v>106</v>
      </c>
      <c r="E178" s="80">
        <f t="shared" si="10"/>
        <v>3.4859626951300412E-3</v>
      </c>
      <c r="F178" s="114">
        <f>IFERROR(VLOOKUP($A178,[8]Seasoning!$A:$C,3,FALSE),0)</f>
        <v>1196323.8899999997</v>
      </c>
      <c r="I178" s="80">
        <v>7.3422208438224104E-3</v>
      </c>
      <c r="J178" s="114">
        <v>2698798.4800000004</v>
      </c>
    </row>
    <row r="179" spans="1:10" ht="13.5" thickBot="1">
      <c r="A179" s="49" t="s">
        <v>244</v>
      </c>
      <c r="B179" s="1" t="s">
        <v>143</v>
      </c>
      <c r="E179" s="80">
        <f t="shared" si="10"/>
        <v>5.6846419251147082E-4</v>
      </c>
      <c r="F179" s="114">
        <f>IFERROR(VLOOKUP($A179,[8]Seasoning!$A:$C,3,FALSE),0)</f>
        <v>195087.36999999997</v>
      </c>
      <c r="I179" s="80">
        <v>1.0033292446686617E-3</v>
      </c>
      <c r="J179" s="114">
        <v>368796.24000000005</v>
      </c>
    </row>
    <row r="180" spans="1:10" ht="13.5" thickBot="1">
      <c r="A180" s="49" t="s">
        <v>143</v>
      </c>
      <c r="B180" s="3" t="s">
        <v>43</v>
      </c>
      <c r="C180" s="56"/>
      <c r="D180" s="56"/>
      <c r="E180" s="134">
        <f>SUM(E169:E179)</f>
        <v>1.0000000000000002</v>
      </c>
      <c r="F180" s="139">
        <f>SUM(F169:F179)</f>
        <v>343183216.40999997</v>
      </c>
      <c r="H180" s="56"/>
      <c r="I180" s="134">
        <v>0.99999999999999989</v>
      </c>
      <c r="J180" s="139">
        <v>367572501.21000004</v>
      </c>
    </row>
    <row r="181" spans="1:10">
      <c r="A181" s="85"/>
    </row>
    <row r="182" spans="1:10">
      <c r="A182" s="85"/>
      <c r="B182" s="71" t="s">
        <v>159</v>
      </c>
    </row>
    <row r="183" spans="1:10">
      <c r="A183" s="125" t="s">
        <v>245</v>
      </c>
      <c r="B183" s="1" t="s">
        <v>202</v>
      </c>
      <c r="E183" s="78">
        <f t="shared" ref="E183:E188" si="11">F183/F$189</f>
        <v>4.1201393727563346E-2</v>
      </c>
      <c r="F183" s="114">
        <f>IFERROR(VLOOKUP($A183,'[8]Remaining Term'!$A:$C,3,FALSE),0)</f>
        <v>14139626.819999993</v>
      </c>
      <c r="I183" s="78">
        <v>4.7161758865585025E-2</v>
      </c>
      <c r="J183" s="114">
        <v>15855852.100000001</v>
      </c>
    </row>
    <row r="184" spans="1:10">
      <c r="A184" s="125" t="s">
        <v>246</v>
      </c>
      <c r="B184" s="1" t="s">
        <v>203</v>
      </c>
      <c r="E184" s="78">
        <f t="shared" si="11"/>
        <v>0.18608486757611487</v>
      </c>
      <c r="F184" s="114">
        <f>IFERROR(VLOOKUP($A184,'[8]Remaining Term'!$A:$C,3,FALSE),0)</f>
        <v>63861203.38000004</v>
      </c>
      <c r="I184" s="78">
        <v>0.16526503309678539</v>
      </c>
      <c r="J184" s="114">
        <v>55562345.10999994</v>
      </c>
    </row>
    <row r="185" spans="1:10">
      <c r="A185" s="125" t="s">
        <v>247</v>
      </c>
      <c r="B185" s="1" t="s">
        <v>204</v>
      </c>
      <c r="E185" s="78">
        <f t="shared" si="11"/>
        <v>0.32869572349725495</v>
      </c>
      <c r="F185" s="114">
        <f>IFERROR(VLOOKUP($A185,'[8]Remaining Term'!$A:$C,3,FALSE),0)</f>
        <v>112802855.61</v>
      </c>
      <c r="I185" s="78">
        <v>0.34975332779205076</v>
      </c>
      <c r="J185" s="114">
        <v>117587578.79999998</v>
      </c>
    </row>
    <row r="186" spans="1:10">
      <c r="A186" s="125" t="s">
        <v>248</v>
      </c>
      <c r="B186" s="1" t="s">
        <v>205</v>
      </c>
      <c r="E186" s="78">
        <f t="shared" si="11"/>
        <v>0.38887564615211545</v>
      </c>
      <c r="F186" s="114">
        <f>IFERROR(VLOOKUP($A186,'[8]Remaining Term'!$A:$C,3,FALSE),0)</f>
        <v>133455595.03000005</v>
      </c>
      <c r="I186" s="78">
        <v>0.43774669501867736</v>
      </c>
      <c r="J186" s="114">
        <v>147171077.17000023</v>
      </c>
    </row>
    <row r="187" spans="1:10">
      <c r="A187" s="125" t="s">
        <v>279</v>
      </c>
      <c r="B187" s="1" t="s">
        <v>212</v>
      </c>
      <c r="E187" s="78">
        <f t="shared" si="11"/>
        <v>5.5142369046951377E-2</v>
      </c>
      <c r="F187" s="114">
        <f>IFERROR(VLOOKUP($A187,'[8]Remaining Term'!$A:$C,3,FALSE),0)</f>
        <v>18923935.570000004</v>
      </c>
      <c r="I187" s="78">
        <v>0</v>
      </c>
      <c r="J187" s="114">
        <v>0</v>
      </c>
    </row>
    <row r="188" spans="1:10" ht="13.5" thickBot="1">
      <c r="A188" s="126" t="s">
        <v>160</v>
      </c>
      <c r="B188" s="1" t="s">
        <v>160</v>
      </c>
      <c r="E188" s="78">
        <f t="shared" si="11"/>
        <v>0</v>
      </c>
      <c r="F188" s="114">
        <f>IFERROR(VLOOKUP($A188,'[8]Remaining Term'!$A:$C,3,FALSE),0)</f>
        <v>0</v>
      </c>
      <c r="I188" s="78">
        <v>7.3185226901337073E-5</v>
      </c>
      <c r="J188" s="114">
        <v>24604.98</v>
      </c>
    </row>
    <row r="189" spans="1:10" ht="13.5" thickBot="1">
      <c r="A189" s="127"/>
      <c r="E189" s="79">
        <f>SUM(E183:E188)</f>
        <v>1</v>
      </c>
      <c r="F189" s="121">
        <f>SUM(F183:F188)</f>
        <v>343183216.41000009</v>
      </c>
      <c r="I189" s="79">
        <v>0.99999999999999989</v>
      </c>
      <c r="J189" s="121">
        <v>336201458.16000021</v>
      </c>
    </row>
    <row r="190" spans="1:10">
      <c r="A190" s="128"/>
      <c r="E190" s="78"/>
      <c r="I190" s="78"/>
    </row>
    <row r="191" spans="1:10">
      <c r="A191" s="128"/>
      <c r="B191" s="71" t="s">
        <v>161</v>
      </c>
      <c r="E191" s="78"/>
      <c r="I191" s="78"/>
    </row>
    <row r="192" spans="1:10">
      <c r="A192" s="129" t="s">
        <v>280</v>
      </c>
      <c r="B192" s="1" t="s">
        <v>199</v>
      </c>
      <c r="E192" s="86">
        <f t="shared" ref="E192:E201" si="12">F192/F$202</f>
        <v>2.6726378393290033E-3</v>
      </c>
      <c r="F192" s="114">
        <f>IFERROR(VLOOKUP($A192,'[8]LVR Band'!$A:$C,3,FALSE),0)</f>
        <v>917204.45</v>
      </c>
      <c r="I192" s="86">
        <v>2.5752862819822036E-3</v>
      </c>
      <c r="J192" s="114">
        <v>946604.41999999993</v>
      </c>
    </row>
    <row r="193" spans="1:11">
      <c r="A193" s="129" t="s">
        <v>281</v>
      </c>
      <c r="B193" s="1" t="s">
        <v>162</v>
      </c>
      <c r="E193" s="86">
        <f t="shared" si="12"/>
        <v>1.8442957252426905E-2</v>
      </c>
      <c r="F193" s="114">
        <f>IFERROR(VLOOKUP($A193,'[8]LVR Band'!$A:$C,3,FALSE),0)</f>
        <v>6329313.3899999997</v>
      </c>
      <c r="I193" s="86">
        <v>1.7560755412201631E-2</v>
      </c>
      <c r="J193" s="114">
        <v>6454850.7899999982</v>
      </c>
    </row>
    <row r="194" spans="1:11">
      <c r="A194" s="129" t="s">
        <v>282</v>
      </c>
      <c r="B194" s="1" t="s">
        <v>163</v>
      </c>
      <c r="E194" s="86">
        <f t="shared" si="12"/>
        <v>5.6498853069887514E-2</v>
      </c>
      <c r="F194" s="114">
        <f>IFERROR(VLOOKUP($A194,'[8]LVR Band'!$A:$C,3,FALSE),0)</f>
        <v>19389458.119999994</v>
      </c>
      <c r="I194" s="86">
        <v>5.5745438090575382E-2</v>
      </c>
      <c r="J194" s="114">
        <v>20490490.109999999</v>
      </c>
    </row>
    <row r="195" spans="1:11">
      <c r="A195" s="124" t="s">
        <v>283</v>
      </c>
      <c r="B195" s="1" t="s">
        <v>200</v>
      </c>
      <c r="E195" s="86">
        <f t="shared" si="12"/>
        <v>0.10113022109023138</v>
      </c>
      <c r="F195" s="114">
        <f>IFERROR(VLOOKUP($A195,'[8]LVR Band'!$A:$C,3,FALSE),0)</f>
        <v>34706194.550000012</v>
      </c>
      <c r="I195" s="86">
        <v>9.8577596394510289E-2</v>
      </c>
      <c r="J195" s="114">
        <v>36234413.670000024</v>
      </c>
    </row>
    <row r="196" spans="1:11">
      <c r="A196" s="124" t="s">
        <v>284</v>
      </c>
      <c r="B196" s="1" t="s">
        <v>164</v>
      </c>
      <c r="E196" s="86">
        <f t="shared" si="12"/>
        <v>0.13492008016698229</v>
      </c>
      <c r="F196" s="114">
        <f>IFERROR(VLOOKUP($A196,'[8]LVR Band'!$A:$C,3,FALSE),0)</f>
        <v>46302307.070000023</v>
      </c>
      <c r="I196" s="86">
        <v>0.13244703569973032</v>
      </c>
      <c r="J196" s="114">
        <v>48683888.190000035</v>
      </c>
    </row>
    <row r="197" spans="1:11">
      <c r="A197" s="124" t="s">
        <v>285</v>
      </c>
      <c r="B197" s="1" t="s">
        <v>165</v>
      </c>
      <c r="E197" s="86">
        <f t="shared" si="12"/>
        <v>0.15746924827884828</v>
      </c>
      <c r="F197" s="114">
        <f>IFERROR(VLOOKUP($A197,'[8]LVR Band'!$A:$C,3,FALSE),0)</f>
        <v>54040803.109999999</v>
      </c>
      <c r="I197" s="86">
        <v>0.15745144323768451</v>
      </c>
      <c r="J197" s="114">
        <v>57874820.810000032</v>
      </c>
    </row>
    <row r="198" spans="1:11">
      <c r="A198" s="124" t="s">
        <v>286</v>
      </c>
      <c r="B198" s="1" t="s">
        <v>166</v>
      </c>
      <c r="E198" s="86">
        <f t="shared" si="12"/>
        <v>0.16163017897626891</v>
      </c>
      <c r="F198" s="114">
        <f>IFERROR(VLOOKUP($A198,'[8]LVR Band'!$A:$C,3,FALSE),0)</f>
        <v>55468764.689999908</v>
      </c>
      <c r="I198" s="86">
        <v>0.1586728404274145</v>
      </c>
      <c r="J198" s="114">
        <v>58323772.829999954</v>
      </c>
    </row>
    <row r="199" spans="1:11">
      <c r="A199" s="124" t="s">
        <v>287</v>
      </c>
      <c r="B199" s="1" t="s">
        <v>167</v>
      </c>
      <c r="E199" s="86">
        <f t="shared" si="12"/>
        <v>0.16183865930566418</v>
      </c>
      <c r="F199" s="114">
        <f>IFERROR(VLOOKUP($A199,'[8]LVR Band'!$A:$C,3,FALSE),0)</f>
        <v>55540311.640000001</v>
      </c>
      <c r="I199" s="86">
        <v>0.16215071212834936</v>
      </c>
      <c r="J199" s="114">
        <v>59602142.830000058</v>
      </c>
    </row>
    <row r="200" spans="1:11">
      <c r="A200" s="124" t="s">
        <v>288</v>
      </c>
      <c r="B200" s="1" t="s">
        <v>168</v>
      </c>
      <c r="E200" s="86">
        <f t="shared" si="12"/>
        <v>0.20539716402036159</v>
      </c>
      <c r="F200" s="114">
        <f>IFERROR(VLOOKUP($A200,'[8]LVR Band'!$A:$C,3,FALSE),0)</f>
        <v>70488859.390000001</v>
      </c>
      <c r="I200" s="86">
        <v>0.21481889232755177</v>
      </c>
      <c r="J200" s="114">
        <v>78961517.559999883</v>
      </c>
    </row>
    <row r="201" spans="1:11" ht="13.5" thickBot="1">
      <c r="A201" s="124" t="s">
        <v>169</v>
      </c>
      <c r="B201" s="1" t="s">
        <v>169</v>
      </c>
      <c r="E201" s="86">
        <f t="shared" si="12"/>
        <v>0</v>
      </c>
      <c r="F201" s="114">
        <f>IFERROR(VLOOKUP($A201,'[8]LVR Band'!$A:$C,3,FALSE),0)</f>
        <v>0</v>
      </c>
      <c r="G201" s="122"/>
      <c r="I201" s="86">
        <v>0</v>
      </c>
      <c r="J201" s="114">
        <v>0</v>
      </c>
      <c r="K201" s="122"/>
    </row>
    <row r="202" spans="1:11" ht="13.5" thickBot="1">
      <c r="A202" s="81"/>
      <c r="E202" s="134">
        <f>SUM(E192:E201)</f>
        <v>1.0000000000000002</v>
      </c>
      <c r="F202" s="121">
        <f>SUM(F192:F201)</f>
        <v>343183216.40999991</v>
      </c>
      <c r="I202" s="134">
        <v>1</v>
      </c>
      <c r="J202" s="121">
        <v>367572501.20999998</v>
      </c>
    </row>
    <row r="203" spans="1:11">
      <c r="A203" s="81"/>
      <c r="E203" s="78"/>
      <c r="I203" s="78"/>
    </row>
    <row r="204" spans="1:11">
      <c r="A204" s="81"/>
      <c r="B204" s="71" t="s">
        <v>170</v>
      </c>
      <c r="E204" s="78"/>
      <c r="I204" s="78"/>
    </row>
    <row r="205" spans="1:11">
      <c r="A205" s="107" t="s">
        <v>171</v>
      </c>
      <c r="B205" s="1" t="s">
        <v>171</v>
      </c>
      <c r="E205" s="78">
        <f>F205/F$208</f>
        <v>0.84408467826679867</v>
      </c>
      <c r="F205" s="103">
        <f>IFERROR(VLOOKUP($A205,'[8]New v Used'!$A:$C,3,FALSE),0)</f>
        <v>289675694.81</v>
      </c>
      <c r="I205" s="78">
        <v>0.84198213618048579</v>
      </c>
      <c r="J205" s="103">
        <v>309489479.77000004</v>
      </c>
    </row>
    <row r="206" spans="1:11">
      <c r="A206" s="107" t="s">
        <v>270</v>
      </c>
      <c r="B206" s="1" t="s">
        <v>172</v>
      </c>
      <c r="E206" s="78">
        <f>F206/F$208</f>
        <v>0.15591532173320144</v>
      </c>
      <c r="F206" s="103">
        <f>IFERROR(VLOOKUP($A206,'[8]New v Used'!$A:$C,3,FALSE),0)</f>
        <v>53507521.600000046</v>
      </c>
      <c r="I206" s="78">
        <v>0.15801786381951421</v>
      </c>
      <c r="J206" s="103">
        <v>58083021.440000005</v>
      </c>
    </row>
    <row r="207" spans="1:11" ht="13.5" thickBot="1">
      <c r="A207" s="107" t="s">
        <v>172</v>
      </c>
      <c r="E207" s="78"/>
      <c r="I207" s="78"/>
    </row>
    <row r="208" spans="1:11" ht="13.5" thickBot="1">
      <c r="A208" s="49"/>
      <c r="E208" s="79">
        <f>SUM(E205:E206)</f>
        <v>1</v>
      </c>
      <c r="F208" s="135">
        <f>SUM(F205:F206)</f>
        <v>343183216.41000003</v>
      </c>
      <c r="I208" s="79">
        <v>1</v>
      </c>
      <c r="J208" s="135">
        <v>367572501.21000004</v>
      </c>
    </row>
    <row r="209" spans="1:10">
      <c r="A209" s="49"/>
      <c r="E209" s="78"/>
      <c r="I209" s="78"/>
    </row>
    <row r="210" spans="1:10">
      <c r="A210" s="49"/>
      <c r="B210" s="71" t="s">
        <v>173</v>
      </c>
      <c r="E210" s="78"/>
      <c r="I210" s="78"/>
    </row>
    <row r="211" spans="1:10">
      <c r="A211" s="107" t="s">
        <v>174</v>
      </c>
      <c r="B211" s="1" t="s">
        <v>174</v>
      </c>
      <c r="E211" s="78">
        <f>F211/F$214</f>
        <v>1.4967015414482051E-2</v>
      </c>
      <c r="F211" s="114">
        <f>IFERROR(VLOOKUP($A211,'[8]Loan Type'!$A:$C,3,FALSE),0)</f>
        <v>5136428.49</v>
      </c>
      <c r="I211" s="78">
        <v>1.5626139961755495E-2</v>
      </c>
      <c r="J211" s="114">
        <v>5743739.3500000015</v>
      </c>
    </row>
    <row r="212" spans="1:10">
      <c r="A212" s="107" t="s">
        <v>175</v>
      </c>
      <c r="B212" s="1" t="s">
        <v>175</v>
      </c>
      <c r="E212" s="78">
        <f>F212/F$214</f>
        <v>0.97093677839395243</v>
      </c>
      <c r="F212" s="114">
        <f>IFERROR(VLOOKUP($A212,'[8]Loan Type'!$A:$C,3,FALSE),0)</f>
        <v>333209206.54000002</v>
      </c>
      <c r="I212" s="78">
        <v>0.96817950414816889</v>
      </c>
      <c r="J212" s="114">
        <v>355876161.96000004</v>
      </c>
    </row>
    <row r="213" spans="1:10" ht="13.5" thickBot="1">
      <c r="A213" s="107" t="s">
        <v>176</v>
      </c>
      <c r="B213" s="1" t="s">
        <v>176</v>
      </c>
      <c r="E213" s="78">
        <f>F213/F$214</f>
        <v>1.4096206191565484E-2</v>
      </c>
      <c r="F213" s="114">
        <f>IFERROR(VLOOKUP($A213,'[8]Loan Type'!$A:$C,3,FALSE),0)</f>
        <v>4837581.38</v>
      </c>
      <c r="I213" s="78">
        <v>1.6194355890075646E-2</v>
      </c>
      <c r="J213" s="114">
        <v>5952599.9000000013</v>
      </c>
    </row>
    <row r="214" spans="1:10" ht="13.5" thickBot="1">
      <c r="A214" s="49"/>
      <c r="E214" s="79">
        <f>SUM(E211:E213)</f>
        <v>1</v>
      </c>
      <c r="F214" s="121">
        <f>SUM(F211:F213)</f>
        <v>343183216.41000003</v>
      </c>
      <c r="I214" s="79">
        <v>1</v>
      </c>
      <c r="J214" s="121">
        <v>367572501.21000004</v>
      </c>
    </row>
    <row r="215" spans="1:10">
      <c r="A215" s="49"/>
      <c r="E215" s="78"/>
      <c r="I215" s="78"/>
    </row>
    <row r="216" spans="1:10">
      <c r="A216" s="49"/>
      <c r="B216" s="71" t="s">
        <v>177</v>
      </c>
      <c r="E216" s="78"/>
      <c r="I216" s="78"/>
    </row>
    <row r="217" spans="1:10">
      <c r="A217" s="49" t="s">
        <v>178</v>
      </c>
      <c r="B217" s="1" t="s">
        <v>178</v>
      </c>
      <c r="E217" s="78">
        <f>F217/F$219</f>
        <v>0.99520025050399863</v>
      </c>
      <c r="F217" s="114">
        <f>E19-F218</f>
        <v>341536022.94000012</v>
      </c>
      <c r="I217" s="78">
        <v>0.99524861325520586</v>
      </c>
      <c r="J217" s="114">
        <v>365826022.10000026</v>
      </c>
    </row>
    <row r="218" spans="1:10" ht="13.5" thickBot="1">
      <c r="A218" s="49" t="s">
        <v>217</v>
      </c>
      <c r="B218" s="1" t="s">
        <v>179</v>
      </c>
      <c r="E218" s="78">
        <f>F218/F$219</f>
        <v>4.7997494960012911E-3</v>
      </c>
      <c r="F218" s="114">
        <f>VLOOKUP($A218,[8]Source!$A:$C,3,FALSE)</f>
        <v>1647193.4700000002</v>
      </c>
      <c r="I218" s="78">
        <v>4.751386744794076E-3</v>
      </c>
      <c r="J218" s="114">
        <v>1746479.1099999999</v>
      </c>
    </row>
    <row r="219" spans="1:10" ht="13.5" thickBot="1">
      <c r="A219" s="49"/>
      <c r="E219" s="79">
        <f>SUM(E217:E218)</f>
        <v>0.99999999999999989</v>
      </c>
      <c r="F219" s="121">
        <f>SUM(F217:F218)</f>
        <v>343183216.41000015</v>
      </c>
      <c r="I219" s="79">
        <v>0.99999999999999989</v>
      </c>
      <c r="J219" s="121">
        <v>367572501.21000028</v>
      </c>
    </row>
    <row r="220" spans="1:10">
      <c r="A220" s="49"/>
      <c r="E220" s="78"/>
      <c r="I220" s="78"/>
    </row>
    <row r="221" spans="1:10">
      <c r="A221" s="49"/>
      <c r="B221" s="71" t="s">
        <v>180</v>
      </c>
      <c r="E221" s="78"/>
      <c r="I221" s="78"/>
    </row>
    <row r="222" spans="1:10">
      <c r="A222" s="107" t="s">
        <v>181</v>
      </c>
      <c r="B222" s="1" t="s">
        <v>181</v>
      </c>
      <c r="E222" s="78">
        <f t="shared" ref="E222:E227" si="13">F222/F$228</f>
        <v>4.6695804554890358E-3</v>
      </c>
      <c r="F222" s="114">
        <f>IFERROR(VLOOKUP($A222,'[8]Payment Frequency'!$A:$C,3,FALSE),0)</f>
        <v>1602521.6400000001</v>
      </c>
      <c r="I222" s="78">
        <v>5.2767471005451642E-3</v>
      </c>
      <c r="J222" s="114">
        <v>1939587.13</v>
      </c>
    </row>
    <row r="223" spans="1:10">
      <c r="A223" s="107" t="s">
        <v>182</v>
      </c>
      <c r="B223" s="1" t="s">
        <v>182</v>
      </c>
      <c r="E223" s="78">
        <f t="shared" si="13"/>
        <v>0.7263450871449334</v>
      </c>
      <c r="F223" s="114">
        <f>IFERROR(VLOOKUP($A223,'[8]Payment Frequency'!$A:$C,3,FALSE),0)</f>
        <v>249269443.23000002</v>
      </c>
      <c r="I223" s="78">
        <v>0.70845478419296803</v>
      </c>
      <c r="J223" s="114">
        <v>260408497.01999986</v>
      </c>
    </row>
    <row r="224" spans="1:10">
      <c r="A224" s="107" t="s">
        <v>183</v>
      </c>
      <c r="B224" s="1" t="s">
        <v>183</v>
      </c>
      <c r="E224" s="78">
        <f t="shared" si="13"/>
        <v>0.187054222061104</v>
      </c>
      <c r="F224" s="114">
        <f>IFERROR(VLOOKUP($A224,'[8]Payment Frequency'!$A:$C,3,FALSE),0)</f>
        <v>64193869.57000006</v>
      </c>
      <c r="I224" s="78">
        <v>0.19857839862808058</v>
      </c>
      <c r="J224" s="114">
        <v>72991958.669999957</v>
      </c>
    </row>
    <row r="225" spans="1:10">
      <c r="A225" s="107" t="s">
        <v>184</v>
      </c>
      <c r="B225" s="1" t="s">
        <v>184</v>
      </c>
      <c r="E225" s="78">
        <f t="shared" si="13"/>
        <v>9.6526690747090766E-3</v>
      </c>
      <c r="F225" s="114">
        <f>IFERROR(VLOOKUP($A225,'[8]Payment Frequency'!$A:$C,3,FALSE),0)</f>
        <v>3312634.02</v>
      </c>
      <c r="I225" s="78">
        <v>1.0619423588953203E-2</v>
      </c>
      <c r="J225" s="114">
        <v>3903408.0900000008</v>
      </c>
    </row>
    <row r="226" spans="1:10">
      <c r="A226" s="107" t="s">
        <v>185</v>
      </c>
      <c r="B226" s="1" t="s">
        <v>185</v>
      </c>
      <c r="E226" s="78">
        <f t="shared" si="13"/>
        <v>6.4171433616059231E-2</v>
      </c>
      <c r="F226" s="114">
        <f>IFERROR(VLOOKUP($A226,'[8]Payment Frequency'!$A:$C,3,FALSE),0)</f>
        <v>22022558.990000006</v>
      </c>
      <c r="I226" s="78">
        <v>6.7892965517957746E-2</v>
      </c>
      <c r="J226" s="114">
        <v>24955587.149999995</v>
      </c>
    </row>
    <row r="227" spans="1:10" ht="13.5" thickBot="1">
      <c r="A227" s="107" t="s">
        <v>186</v>
      </c>
      <c r="B227" s="1" t="s">
        <v>186</v>
      </c>
      <c r="E227" s="78">
        <f t="shared" si="13"/>
        <v>8.1070076477053766E-3</v>
      </c>
      <c r="F227" s="114">
        <f>IFERROR(VLOOKUP($A227,'[8]Payment Frequency'!$A:$C,3,FALSE),0)</f>
        <v>2782188.9599999995</v>
      </c>
      <c r="I227" s="78">
        <v>9.1776809714954437E-3</v>
      </c>
      <c r="J227" s="114">
        <v>3373463.1500000004</v>
      </c>
    </row>
    <row r="228" spans="1:10" ht="13.5" thickBot="1">
      <c r="A228" s="49" t="s">
        <v>271</v>
      </c>
      <c r="E228" s="79">
        <f>SUM(E222:E227)</f>
        <v>1.0000000000000002</v>
      </c>
      <c r="F228" s="121">
        <f>SUM(F222:F227)</f>
        <v>343183216.41000003</v>
      </c>
      <c r="I228" s="79">
        <v>1.0000000000000002</v>
      </c>
      <c r="J228" s="121">
        <v>367572501.20999974</v>
      </c>
    </row>
    <row r="229" spans="1:10">
      <c r="A229" s="49" t="s">
        <v>272</v>
      </c>
      <c r="E229" s="78"/>
      <c r="I229" s="78"/>
    </row>
    <row r="230" spans="1:10">
      <c r="A230" s="106" t="s">
        <v>273</v>
      </c>
      <c r="B230" s="71" t="s">
        <v>187</v>
      </c>
      <c r="E230" s="78"/>
      <c r="I230" s="78"/>
    </row>
    <row r="231" spans="1:10" hidden="1">
      <c r="A231" s="49" t="s">
        <v>271</v>
      </c>
      <c r="E231" s="78">
        <f t="shared" ref="E231:E244" si="14">F231/F$245</f>
        <v>0</v>
      </c>
      <c r="F231" s="114">
        <f>IFERROR(VLOOKUP(#REF!,'[1]Contract Yield'!$A:$B,2,FALSE),0)</f>
        <v>0</v>
      </c>
      <c r="I231" s="78">
        <v>6.6313345584233963E-2</v>
      </c>
      <c r="J231" s="114">
        <v>24374962.29999999</v>
      </c>
    </row>
    <row r="232" spans="1:10" hidden="1">
      <c r="A232" s="49" t="s">
        <v>272</v>
      </c>
      <c r="E232" s="78">
        <f t="shared" si="14"/>
        <v>0</v>
      </c>
      <c r="F232" s="114">
        <f>IFERROR(VLOOKUP(#REF!,'[1]Contract Yield'!$A:$B,2,FALSE),0)</f>
        <v>0</v>
      </c>
      <c r="I232" s="78">
        <v>5.6093023531758865E-2</v>
      </c>
      <c r="J232" s="114">
        <v>20618252.959999997</v>
      </c>
    </row>
    <row r="233" spans="1:10" hidden="1">
      <c r="A233" s="106" t="s">
        <v>273</v>
      </c>
      <c r="E233" s="78">
        <f t="shared" si="14"/>
        <v>0</v>
      </c>
      <c r="F233" s="114">
        <f>IFERROR(VLOOKUP(#REF!,'[1]Contract Yield'!$A:$B,2,FALSE),0)</f>
        <v>0</v>
      </c>
      <c r="I233" s="78">
        <v>0.10576804162993877</v>
      </c>
      <c r="J233" s="114">
        <v>38877423.610000007</v>
      </c>
    </row>
    <row r="234" spans="1:10" hidden="1">
      <c r="A234" s="107" t="s">
        <v>249</v>
      </c>
      <c r="E234" s="78">
        <f t="shared" si="14"/>
        <v>0</v>
      </c>
      <c r="F234" s="114">
        <f>IFERROR(VLOOKUP(#REF!,'[1]Contract Yield'!$A:$B,2,FALSE),0)</f>
        <v>0</v>
      </c>
      <c r="I234" s="78">
        <v>4.3598290724268178E-2</v>
      </c>
      <c r="J234" s="114">
        <v>16025532.769999998</v>
      </c>
    </row>
    <row r="235" spans="1:10">
      <c r="A235" s="107"/>
      <c r="B235" s="1" t="s">
        <v>188</v>
      </c>
      <c r="E235" s="78">
        <f t="shared" si="14"/>
        <v>0.2707840952483484</v>
      </c>
      <c r="F235" s="114">
        <f>SUM('[8]Contract Yield'!$C$2:$C$5)</f>
        <v>92928556.75999999</v>
      </c>
      <c r="I235" s="78">
        <v>0.27177270147019983</v>
      </c>
      <c r="J235" s="114">
        <v>99896171.640000001</v>
      </c>
    </row>
    <row r="236" spans="1:10">
      <c r="A236" s="124" t="s">
        <v>289</v>
      </c>
      <c r="B236" s="1" t="s">
        <v>189</v>
      </c>
      <c r="E236" s="78">
        <f t="shared" si="14"/>
        <v>6.5484109785693967E-2</v>
      </c>
      <c r="F236" s="114">
        <f>IFERROR(VLOOKUP($A236,'[8]Contract Yield'!$A:$C,3,FALSE),0)</f>
        <v>22473047.420000009</v>
      </c>
      <c r="I236" s="78">
        <v>6.5995859619925351E-2</v>
      </c>
      <c r="J236" s="114">
        <v>24258263.190000005</v>
      </c>
    </row>
    <row r="237" spans="1:10">
      <c r="A237" s="124" t="s">
        <v>290</v>
      </c>
      <c r="B237" s="1" t="s">
        <v>190</v>
      </c>
      <c r="E237" s="78">
        <f t="shared" si="14"/>
        <v>0.17033950188916222</v>
      </c>
      <c r="F237" s="114">
        <f>IFERROR(VLOOKUP($A237,'[8]Contract Yield'!$A:$C,3,FALSE),0)</f>
        <v>58457658.139999956</v>
      </c>
      <c r="I237" s="78">
        <v>0.16593563117267435</v>
      </c>
      <c r="J237" s="114">
        <v>60993374.989999965</v>
      </c>
    </row>
    <row r="238" spans="1:10">
      <c r="A238" s="124" t="s">
        <v>291</v>
      </c>
      <c r="B238" s="1" t="s">
        <v>191</v>
      </c>
      <c r="E238" s="78">
        <f t="shared" si="14"/>
        <v>0.21535201363607995</v>
      </c>
      <c r="F238" s="114">
        <f>IFERROR(VLOOKUP($A238,'[8]Contract Yield'!$A:$C,3,FALSE),0)</f>
        <v>73905196.700000092</v>
      </c>
      <c r="I238" s="78">
        <v>0.21107856432294295</v>
      </c>
      <c r="J238" s="114">
        <v>77586675.840000018</v>
      </c>
    </row>
    <row r="239" spans="1:10">
      <c r="A239" s="124" t="s">
        <v>292</v>
      </c>
      <c r="B239" s="1" t="s">
        <v>192</v>
      </c>
      <c r="E239" s="78">
        <f t="shared" si="14"/>
        <v>0.12820041565621848</v>
      </c>
      <c r="F239" s="114">
        <f>IFERROR(VLOOKUP($A239,'[8]Contract Yield'!$A:$C,3,FALSE),0)</f>
        <v>43996230.989999972</v>
      </c>
      <c r="I239" s="78">
        <v>0.12789768131523374</v>
      </c>
      <c r="J239" s="114">
        <v>47011670.619999953</v>
      </c>
    </row>
    <row r="240" spans="1:10">
      <c r="A240" s="124" t="s">
        <v>293</v>
      </c>
      <c r="B240" s="1" t="s">
        <v>193</v>
      </c>
      <c r="E240" s="78">
        <f t="shared" si="14"/>
        <v>9.352456173630283E-2</v>
      </c>
      <c r="F240" s="114">
        <f>IFERROR(VLOOKUP($A240,'[8]Contract Yield'!$A:$C,3,FALSE),0)</f>
        <v>32096059.910000015</v>
      </c>
      <c r="I240" s="78">
        <v>9.7266413026838625E-2</v>
      </c>
      <c r="J240" s="114">
        <v>35752458.720000006</v>
      </c>
    </row>
    <row r="241" spans="1:11">
      <c r="A241" s="124" t="s">
        <v>294</v>
      </c>
      <c r="B241" s="1" t="s">
        <v>194</v>
      </c>
      <c r="E241" s="78">
        <f t="shared" si="14"/>
        <v>2.0773932608297158E-2</v>
      </c>
      <c r="F241" s="114">
        <f>IFERROR(VLOOKUP($A241,'[8]Contract Yield'!$A:$C,3,FALSE),0)</f>
        <v>7129265.0099999979</v>
      </c>
      <c r="I241" s="78">
        <v>2.2132329358752027E-2</v>
      </c>
      <c r="J241" s="114">
        <v>8135235.6599999992</v>
      </c>
    </row>
    <row r="242" spans="1:11">
      <c r="A242" s="124" t="s">
        <v>295</v>
      </c>
      <c r="B242" s="1" t="s">
        <v>195</v>
      </c>
      <c r="E242" s="78">
        <f t="shared" si="14"/>
        <v>1.4260953088547922E-2</v>
      </c>
      <c r="F242" s="114">
        <f>IFERROR(VLOOKUP($A242,'[8]Contract Yield'!$A:$C,3,FALSE),0)</f>
        <v>4894119.7499999991</v>
      </c>
      <c r="G242" s="122"/>
      <c r="I242" s="78">
        <v>1.6398946303538147E-2</v>
      </c>
      <c r="J242" s="114">
        <v>6027801.7100000018</v>
      </c>
      <c r="K242" s="122"/>
    </row>
    <row r="243" spans="1:11">
      <c r="A243" s="124" t="s">
        <v>296</v>
      </c>
      <c r="B243" s="1" t="s">
        <v>196</v>
      </c>
      <c r="E243" s="78">
        <f t="shared" si="14"/>
        <v>8.3411981796339008E-3</v>
      </c>
      <c r="F243" s="114">
        <f>IFERROR(VLOOKUP($A243,'[8]Contract Yield'!$A:$C,3,FALSE),0)</f>
        <v>2862559.2199999988</v>
      </c>
      <c r="G243" s="122"/>
      <c r="I243" s="78">
        <v>8.3648046572542458E-3</v>
      </c>
      <c r="J243" s="114">
        <v>3074672.1700000004</v>
      </c>
      <c r="K243" s="122"/>
    </row>
    <row r="244" spans="1:11" ht="13.5" thickBot="1">
      <c r="A244" s="124" t="s">
        <v>297</v>
      </c>
      <c r="B244" s="1" t="s">
        <v>197</v>
      </c>
      <c r="E244" s="78">
        <f t="shared" si="14"/>
        <v>1.2939218171715372E-2</v>
      </c>
      <c r="F244" s="114">
        <f>IFERROR(VLOOKUP($A244,'[8]Contract Yield'!$A:$C,3,FALSE),0)</f>
        <v>4440522.5100000007</v>
      </c>
      <c r="G244" s="122"/>
      <c r="I244" s="78">
        <v>1.3157068752640489E-2</v>
      </c>
      <c r="J244" s="114">
        <v>4836176.67</v>
      </c>
      <c r="K244" s="122"/>
    </row>
    <row r="245" spans="1:11" ht="13.5" thickBot="1">
      <c r="A245" s="106"/>
      <c r="E245" s="79">
        <f>SUM(E231:E244)</f>
        <v>1</v>
      </c>
      <c r="F245" s="121">
        <f>SUM(F235:F244)</f>
        <v>343183216.40999997</v>
      </c>
      <c r="I245" s="79">
        <v>0.99999999999999956</v>
      </c>
      <c r="J245" s="121">
        <v>367572501.21000004</v>
      </c>
    </row>
    <row r="246" spans="1:11" ht="13.5" thickBot="1">
      <c r="A246" s="106"/>
      <c r="E246" s="78"/>
      <c r="I246" s="78"/>
    </row>
    <row r="247" spans="1:11" ht="13.5" thickBot="1">
      <c r="A247" s="106"/>
      <c r="B247" s="71" t="s">
        <v>198</v>
      </c>
      <c r="E247" s="79">
        <f>F247/E19</f>
        <v>2.141126677716482E-2</v>
      </c>
      <c r="F247" s="121">
        <f>SUM('[8]Top 5 Obligors'!$E$2:$E$6)</f>
        <v>7347987.4000000004</v>
      </c>
      <c r="I247" s="79">
        <v>2.0885386678080316E-2</v>
      </c>
      <c r="J247" s="121">
        <v>7676893.8200000003</v>
      </c>
    </row>
    <row r="248" spans="1:11">
      <c r="A248" s="106"/>
    </row>
    <row r="249" spans="1:11">
      <c r="A249" s="106"/>
      <c r="F249" s="137"/>
      <c r="J249" s="137"/>
    </row>
    <row r="250" spans="1:11" ht="12.75" customHeight="1">
      <c r="A250" s="106"/>
      <c r="F250" s="138"/>
      <c r="J250" s="138"/>
    </row>
    <row r="251" spans="1:11" ht="12.75" customHeight="1">
      <c r="A251" s="106"/>
    </row>
    <row r="252" spans="1:11">
      <c r="A252" s="106"/>
    </row>
    <row r="253" spans="1:11">
      <c r="A253" s="106"/>
    </row>
    <row r="254" spans="1:11">
      <c r="A254" s="106"/>
    </row>
  </sheetData>
  <printOptions horizontalCentered="1"/>
  <pageMargins left="0.196850393700787" right="0.196850393700787" top="0.196850393700787" bottom="0.196850393700787" header="0" footer="0"/>
  <pageSetup paperSize="9" scale="42" fitToHeight="0" orientation="portrait" cellComments="atEnd" r:id="rId1"/>
  <headerFooter alignWithMargins="0"/>
  <rowBreaks count="5" manualBreakCount="5">
    <brk id="32" min="1" max="14" man="1"/>
    <brk id="70" min="1" max="14" man="1"/>
    <brk id="108" min="1" max="14" man="1"/>
    <brk id="167" min="1" max="14" man="1"/>
    <brk id="215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L35" sqref="L35"/>
    </sheetView>
  </sheetViews>
  <sheetFormatPr defaultRowHeight="12.75"/>
  <cols>
    <col min="1" max="1" width="2.7109375" bestFit="1" customWidth="1"/>
    <col min="3" max="3" width="57.7109375" bestFit="1" customWidth="1"/>
    <col min="4" max="6" width="11.7109375" bestFit="1" customWidth="1"/>
    <col min="7" max="9" width="10.85546875" bestFit="1" customWidth="1"/>
  </cols>
  <sheetData>
    <row r="1" spans="1:9" ht="13.5" thickBot="1">
      <c r="A1" s="9"/>
      <c r="B1" s="10"/>
      <c r="C1" s="4" t="s">
        <v>1</v>
      </c>
      <c r="D1" s="44"/>
      <c r="E1" s="104"/>
      <c r="F1" s="104"/>
      <c r="G1" s="44"/>
      <c r="H1" s="44"/>
      <c r="I1" s="5"/>
    </row>
    <row r="2" spans="1:9">
      <c r="A2" s="11"/>
      <c r="B2" s="12"/>
      <c r="C2" s="2"/>
      <c r="D2" s="32" t="s">
        <v>14</v>
      </c>
      <c r="E2" s="31" t="s">
        <v>145</v>
      </c>
      <c r="F2" s="36" t="s">
        <v>144</v>
      </c>
      <c r="G2" s="30" t="s">
        <v>115</v>
      </c>
      <c r="H2" s="30" t="s">
        <v>256</v>
      </c>
      <c r="I2" s="30" t="s">
        <v>116</v>
      </c>
    </row>
    <row r="3" spans="1:9">
      <c r="A3" s="11"/>
      <c r="B3" s="12"/>
      <c r="C3" s="6" t="s">
        <v>117</v>
      </c>
      <c r="D3" s="15">
        <v>400000000</v>
      </c>
      <c r="E3" s="15">
        <v>100000000</v>
      </c>
      <c r="F3" s="37">
        <v>244800000</v>
      </c>
      <c r="G3" s="15">
        <v>13600000</v>
      </c>
      <c r="H3" s="15">
        <v>12000000</v>
      </c>
      <c r="I3" s="15">
        <v>29600000</v>
      </c>
    </row>
    <row r="4" spans="1:9">
      <c r="A4" s="12" t="s">
        <v>15</v>
      </c>
      <c r="B4" s="12"/>
      <c r="C4" s="6" t="s">
        <v>298</v>
      </c>
      <c r="D4" s="15">
        <v>367899561.02999997</v>
      </c>
      <c r="E4" s="15">
        <v>67899561.030000001</v>
      </c>
      <c r="F4" s="37">
        <v>244800000</v>
      </c>
      <c r="G4" s="15">
        <v>13600000</v>
      </c>
      <c r="H4" s="15">
        <v>12000000</v>
      </c>
      <c r="I4" s="15">
        <v>29600000</v>
      </c>
    </row>
    <row r="5" spans="1:9">
      <c r="A5" s="12" t="s">
        <v>16</v>
      </c>
      <c r="B5" s="12"/>
      <c r="C5" s="6" t="s">
        <v>299</v>
      </c>
      <c r="D5" s="15">
        <v>367572501.20999998</v>
      </c>
      <c r="E5" s="15">
        <v>67899561.030000001</v>
      </c>
      <c r="F5" s="37">
        <v>244800000</v>
      </c>
      <c r="G5" s="15">
        <v>13600000</v>
      </c>
      <c r="H5" s="15">
        <v>12000000</v>
      </c>
      <c r="I5" s="15">
        <v>29272940.18</v>
      </c>
    </row>
    <row r="6" spans="1:9">
      <c r="A6" s="14" t="s">
        <v>17</v>
      </c>
      <c r="B6" s="14"/>
      <c r="C6" s="6" t="s">
        <v>2</v>
      </c>
      <c r="D6" s="15">
        <v>24290790.890000001</v>
      </c>
      <c r="E6" s="15">
        <v>24290790.890000001</v>
      </c>
      <c r="F6" s="16">
        <v>0</v>
      </c>
      <c r="G6" s="15">
        <v>0</v>
      </c>
      <c r="H6" s="15">
        <v>0</v>
      </c>
      <c r="I6" s="15">
        <v>0</v>
      </c>
    </row>
    <row r="7" spans="1:9">
      <c r="A7" s="26"/>
      <c r="B7" s="20"/>
      <c r="C7" s="48" t="s">
        <v>6</v>
      </c>
      <c r="D7" s="45">
        <v>0</v>
      </c>
      <c r="E7" s="45">
        <v>0</v>
      </c>
      <c r="F7" s="46">
        <v>0</v>
      </c>
      <c r="G7" s="45">
        <v>0</v>
      </c>
      <c r="H7" s="45">
        <v>0</v>
      </c>
      <c r="I7" s="45">
        <v>0</v>
      </c>
    </row>
    <row r="8" spans="1:9" ht="13.5" thickBot="1">
      <c r="A8" s="24"/>
      <c r="B8" s="25"/>
      <c r="C8" s="29" t="s">
        <v>7</v>
      </c>
      <c r="D8" s="47">
        <v>0</v>
      </c>
      <c r="E8" s="47">
        <v>0</v>
      </c>
      <c r="F8" s="38">
        <v>0</v>
      </c>
      <c r="G8" s="47">
        <v>0</v>
      </c>
      <c r="H8" s="47">
        <v>0</v>
      </c>
      <c r="I8" s="47">
        <v>0</v>
      </c>
    </row>
    <row r="9" spans="1:9">
      <c r="A9" s="43" t="s">
        <v>18</v>
      </c>
      <c r="B9" s="43"/>
      <c r="C9" s="141" t="s">
        <v>4</v>
      </c>
      <c r="D9" s="15">
        <v>98493.91</v>
      </c>
      <c r="E9" s="101">
        <v>0</v>
      </c>
      <c r="F9" s="101">
        <v>0</v>
      </c>
      <c r="G9" s="101">
        <v>0</v>
      </c>
      <c r="H9" s="111">
        <v>0</v>
      </c>
      <c r="I9" s="111">
        <v>98493.91</v>
      </c>
    </row>
    <row r="10" spans="1:9">
      <c r="A10" s="43" t="s">
        <v>19</v>
      </c>
      <c r="B10" s="43"/>
      <c r="C10" s="141" t="s">
        <v>9</v>
      </c>
      <c r="D10" s="15">
        <v>0</v>
      </c>
      <c r="E10" s="101">
        <v>0</v>
      </c>
      <c r="F10" s="101">
        <v>0</v>
      </c>
      <c r="G10" s="101">
        <v>0</v>
      </c>
      <c r="H10" s="101">
        <v>0</v>
      </c>
      <c r="I10" s="102">
        <v>0</v>
      </c>
    </row>
    <row r="11" spans="1:9">
      <c r="A11" s="11"/>
      <c r="B11" s="12"/>
      <c r="C11" s="6" t="s">
        <v>11</v>
      </c>
      <c r="D11" s="15">
        <v>0</v>
      </c>
      <c r="E11" s="15">
        <v>0</v>
      </c>
      <c r="F11" s="37">
        <v>0</v>
      </c>
      <c r="G11" s="37">
        <v>0</v>
      </c>
      <c r="H11" s="37">
        <v>0</v>
      </c>
      <c r="I11" s="15">
        <v>0</v>
      </c>
    </row>
    <row r="12" spans="1:9" ht="13.5" thickBot="1">
      <c r="A12" s="11"/>
      <c r="B12" s="12"/>
      <c r="C12" s="6" t="s">
        <v>10</v>
      </c>
      <c r="D12" s="15">
        <v>0</v>
      </c>
      <c r="E12" s="47">
        <v>0</v>
      </c>
      <c r="F12" s="38">
        <v>0</v>
      </c>
      <c r="G12" s="38">
        <v>0</v>
      </c>
      <c r="H12" s="38">
        <v>0</v>
      </c>
      <c r="I12" s="47">
        <v>0</v>
      </c>
    </row>
    <row r="13" spans="1:9" ht="13.5" thickBot="1">
      <c r="A13" s="22"/>
      <c r="B13" s="23"/>
      <c r="C13" s="34" t="s">
        <v>8</v>
      </c>
      <c r="D13" s="17">
        <v>98493.91</v>
      </c>
      <c r="E13" s="17">
        <v>0</v>
      </c>
      <c r="F13" s="39">
        <v>0</v>
      </c>
      <c r="G13" s="17">
        <v>0</v>
      </c>
      <c r="H13" s="17">
        <v>0</v>
      </c>
      <c r="I13" s="17">
        <v>98493.91</v>
      </c>
    </row>
    <row r="14" spans="1:9">
      <c r="A14" s="35"/>
      <c r="B14" s="12"/>
      <c r="C14" s="141" t="s">
        <v>300</v>
      </c>
      <c r="D14" s="15">
        <v>343608770.13999999</v>
      </c>
      <c r="E14" s="37">
        <v>43608770.140000001</v>
      </c>
      <c r="F14" s="42">
        <v>244800000</v>
      </c>
      <c r="G14" s="96">
        <v>13600000</v>
      </c>
      <c r="H14" s="96">
        <v>12000000</v>
      </c>
      <c r="I14" s="96">
        <v>29600000</v>
      </c>
    </row>
    <row r="15" spans="1:9">
      <c r="A15" s="35"/>
      <c r="B15" s="12"/>
      <c r="C15" s="6" t="s">
        <v>301</v>
      </c>
      <c r="D15" s="15">
        <v>343183216.40999997</v>
      </c>
      <c r="E15" s="37">
        <v>43608770.140000001</v>
      </c>
      <c r="F15" s="37">
        <v>244800000</v>
      </c>
      <c r="G15" s="102">
        <v>13600000</v>
      </c>
      <c r="H15" s="102">
        <v>12000000</v>
      </c>
      <c r="I15" s="102">
        <v>29174446.27</v>
      </c>
    </row>
    <row r="16" spans="1:9">
      <c r="A16" s="13"/>
      <c r="B16" s="14"/>
      <c r="C16" s="6" t="s">
        <v>302</v>
      </c>
      <c r="D16" s="15"/>
      <c r="E16" s="40">
        <v>0.43608770140000003</v>
      </c>
      <c r="F16" s="40">
        <v>1</v>
      </c>
      <c r="G16" s="97">
        <v>1</v>
      </c>
      <c r="H16" s="97">
        <v>1</v>
      </c>
      <c r="I16" s="97">
        <v>0.98562318479729727</v>
      </c>
    </row>
    <row r="17" spans="1:9">
      <c r="A17" s="13"/>
      <c r="B17" s="14"/>
      <c r="C17" s="6" t="s">
        <v>12</v>
      </c>
      <c r="D17" s="33"/>
      <c r="E17" s="99">
        <v>4.4999999999999997E-3</v>
      </c>
      <c r="F17" s="99">
        <v>1.0999999999999999E-2</v>
      </c>
      <c r="G17" s="94">
        <v>1.7500000000000002E-2</v>
      </c>
      <c r="H17" s="94">
        <v>2.5000000000000001E-2</v>
      </c>
      <c r="I17" s="94">
        <v>0.01</v>
      </c>
    </row>
    <row r="18" spans="1:9">
      <c r="A18" s="21"/>
      <c r="B18" s="19"/>
      <c r="C18" s="95" t="s">
        <v>0</v>
      </c>
      <c r="D18" s="8"/>
      <c r="E18" s="100">
        <v>3.0450000000000001E-2</v>
      </c>
      <c r="F18" s="100">
        <v>3.6949999999999997E-2</v>
      </c>
      <c r="G18" s="87">
        <v>4.3450000000000003E-2</v>
      </c>
      <c r="H18" s="87">
        <v>5.0950000000000002E-2</v>
      </c>
      <c r="I18" s="87">
        <v>3.5950000000000003E-2</v>
      </c>
    </row>
    <row r="19" spans="1:9">
      <c r="A19" s="21"/>
      <c r="B19" s="19"/>
      <c r="C19" s="141" t="s">
        <v>3</v>
      </c>
      <c r="D19" s="15"/>
      <c r="E19" s="41">
        <v>92</v>
      </c>
      <c r="F19" s="41">
        <v>92</v>
      </c>
      <c r="G19" s="98">
        <v>92</v>
      </c>
      <c r="H19" s="98">
        <v>92</v>
      </c>
      <c r="I19" s="98">
        <v>92</v>
      </c>
    </row>
    <row r="20" spans="1:9" ht="13.5" thickBot="1">
      <c r="A20" s="21"/>
      <c r="B20" s="19"/>
      <c r="C20" s="141" t="s">
        <v>303</v>
      </c>
      <c r="D20" s="47"/>
      <c r="E20" s="38">
        <v>521133.78</v>
      </c>
      <c r="F20" s="38">
        <v>2279926.36</v>
      </c>
      <c r="G20" s="47">
        <v>148944.22</v>
      </c>
      <c r="H20" s="47">
        <v>154106.29999999999</v>
      </c>
      <c r="I20" s="47">
        <v>265252.94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B14" sqref="B14"/>
    </sheetView>
  </sheetViews>
  <sheetFormatPr defaultRowHeight="12"/>
  <cols>
    <col min="1" max="1" width="9.140625" style="144"/>
    <col min="2" max="4" width="13.7109375" style="143" customWidth="1"/>
    <col min="5" max="6" width="9.140625" style="144"/>
    <col min="7" max="7" width="11.140625" style="144" bestFit="1" customWidth="1"/>
    <col min="8" max="257" width="9.140625" style="144"/>
    <col min="258" max="260" width="13.7109375" style="144" customWidth="1"/>
    <col min="261" max="262" width="9.140625" style="144"/>
    <col min="263" max="263" width="11.140625" style="144" bestFit="1" customWidth="1"/>
    <col min="264" max="513" width="9.140625" style="144"/>
    <col min="514" max="516" width="13.7109375" style="144" customWidth="1"/>
    <col min="517" max="518" width="9.140625" style="144"/>
    <col min="519" max="519" width="11.140625" style="144" bestFit="1" customWidth="1"/>
    <col min="520" max="769" width="9.140625" style="144"/>
    <col min="770" max="772" width="13.7109375" style="144" customWidth="1"/>
    <col min="773" max="774" width="9.140625" style="144"/>
    <col min="775" max="775" width="11.140625" style="144" bestFit="1" customWidth="1"/>
    <col min="776" max="1025" width="9.140625" style="144"/>
    <col min="1026" max="1028" width="13.7109375" style="144" customWidth="1"/>
    <col min="1029" max="1030" width="9.140625" style="144"/>
    <col min="1031" max="1031" width="11.140625" style="144" bestFit="1" customWidth="1"/>
    <col min="1032" max="1281" width="9.140625" style="144"/>
    <col min="1282" max="1284" width="13.7109375" style="144" customWidth="1"/>
    <col min="1285" max="1286" width="9.140625" style="144"/>
    <col min="1287" max="1287" width="11.140625" style="144" bestFit="1" customWidth="1"/>
    <col min="1288" max="1537" width="9.140625" style="144"/>
    <col min="1538" max="1540" width="13.7109375" style="144" customWidth="1"/>
    <col min="1541" max="1542" width="9.140625" style="144"/>
    <col min="1543" max="1543" width="11.140625" style="144" bestFit="1" customWidth="1"/>
    <col min="1544" max="1793" width="9.140625" style="144"/>
    <col min="1794" max="1796" width="13.7109375" style="144" customWidth="1"/>
    <col min="1797" max="1798" width="9.140625" style="144"/>
    <col min="1799" max="1799" width="11.140625" style="144" bestFit="1" customWidth="1"/>
    <col min="1800" max="2049" width="9.140625" style="144"/>
    <col min="2050" max="2052" width="13.7109375" style="144" customWidth="1"/>
    <col min="2053" max="2054" width="9.140625" style="144"/>
    <col min="2055" max="2055" width="11.140625" style="144" bestFit="1" customWidth="1"/>
    <col min="2056" max="2305" width="9.140625" style="144"/>
    <col min="2306" max="2308" width="13.7109375" style="144" customWidth="1"/>
    <col min="2309" max="2310" width="9.140625" style="144"/>
    <col min="2311" max="2311" width="11.140625" style="144" bestFit="1" customWidth="1"/>
    <col min="2312" max="2561" width="9.140625" style="144"/>
    <col min="2562" max="2564" width="13.7109375" style="144" customWidth="1"/>
    <col min="2565" max="2566" width="9.140625" style="144"/>
    <col min="2567" max="2567" width="11.140625" style="144" bestFit="1" customWidth="1"/>
    <col min="2568" max="2817" width="9.140625" style="144"/>
    <col min="2818" max="2820" width="13.7109375" style="144" customWidth="1"/>
    <col min="2821" max="2822" width="9.140625" style="144"/>
    <col min="2823" max="2823" width="11.140625" style="144" bestFit="1" customWidth="1"/>
    <col min="2824" max="3073" width="9.140625" style="144"/>
    <col min="3074" max="3076" width="13.7109375" style="144" customWidth="1"/>
    <col min="3077" max="3078" width="9.140625" style="144"/>
    <col min="3079" max="3079" width="11.140625" style="144" bestFit="1" customWidth="1"/>
    <col min="3080" max="3329" width="9.140625" style="144"/>
    <col min="3330" max="3332" width="13.7109375" style="144" customWidth="1"/>
    <col min="3333" max="3334" width="9.140625" style="144"/>
    <col min="3335" max="3335" width="11.140625" style="144" bestFit="1" customWidth="1"/>
    <col min="3336" max="3585" width="9.140625" style="144"/>
    <col min="3586" max="3588" width="13.7109375" style="144" customWidth="1"/>
    <col min="3589" max="3590" width="9.140625" style="144"/>
    <col min="3591" max="3591" width="11.140625" style="144" bestFit="1" customWidth="1"/>
    <col min="3592" max="3841" width="9.140625" style="144"/>
    <col min="3842" max="3844" width="13.7109375" style="144" customWidth="1"/>
    <col min="3845" max="3846" width="9.140625" style="144"/>
    <col min="3847" max="3847" width="11.140625" style="144" bestFit="1" customWidth="1"/>
    <col min="3848" max="4097" width="9.140625" style="144"/>
    <col min="4098" max="4100" width="13.7109375" style="144" customWidth="1"/>
    <col min="4101" max="4102" width="9.140625" style="144"/>
    <col min="4103" max="4103" width="11.140625" style="144" bestFit="1" customWidth="1"/>
    <col min="4104" max="4353" width="9.140625" style="144"/>
    <col min="4354" max="4356" width="13.7109375" style="144" customWidth="1"/>
    <col min="4357" max="4358" width="9.140625" style="144"/>
    <col min="4359" max="4359" width="11.140625" style="144" bestFit="1" customWidth="1"/>
    <col min="4360" max="4609" width="9.140625" style="144"/>
    <col min="4610" max="4612" width="13.7109375" style="144" customWidth="1"/>
    <col min="4613" max="4614" width="9.140625" style="144"/>
    <col min="4615" max="4615" width="11.140625" style="144" bestFit="1" customWidth="1"/>
    <col min="4616" max="4865" width="9.140625" style="144"/>
    <col min="4866" max="4868" width="13.7109375" style="144" customWidth="1"/>
    <col min="4869" max="4870" width="9.140625" style="144"/>
    <col min="4871" max="4871" width="11.140625" style="144" bestFit="1" customWidth="1"/>
    <col min="4872" max="5121" width="9.140625" style="144"/>
    <col min="5122" max="5124" width="13.7109375" style="144" customWidth="1"/>
    <col min="5125" max="5126" width="9.140625" style="144"/>
    <col min="5127" max="5127" width="11.140625" style="144" bestFit="1" customWidth="1"/>
    <col min="5128" max="5377" width="9.140625" style="144"/>
    <col min="5378" max="5380" width="13.7109375" style="144" customWidth="1"/>
    <col min="5381" max="5382" width="9.140625" style="144"/>
    <col min="5383" max="5383" width="11.140625" style="144" bestFit="1" customWidth="1"/>
    <col min="5384" max="5633" width="9.140625" style="144"/>
    <col min="5634" max="5636" width="13.7109375" style="144" customWidth="1"/>
    <col min="5637" max="5638" width="9.140625" style="144"/>
    <col min="5639" max="5639" width="11.140625" style="144" bestFit="1" customWidth="1"/>
    <col min="5640" max="5889" width="9.140625" style="144"/>
    <col min="5890" max="5892" width="13.7109375" style="144" customWidth="1"/>
    <col min="5893" max="5894" width="9.140625" style="144"/>
    <col min="5895" max="5895" width="11.140625" style="144" bestFit="1" customWidth="1"/>
    <col min="5896" max="6145" width="9.140625" style="144"/>
    <col min="6146" max="6148" width="13.7109375" style="144" customWidth="1"/>
    <col min="6149" max="6150" width="9.140625" style="144"/>
    <col min="6151" max="6151" width="11.140625" style="144" bestFit="1" customWidth="1"/>
    <col min="6152" max="6401" width="9.140625" style="144"/>
    <col min="6402" max="6404" width="13.7109375" style="144" customWidth="1"/>
    <col min="6405" max="6406" width="9.140625" style="144"/>
    <col min="6407" max="6407" width="11.140625" style="144" bestFit="1" customWidth="1"/>
    <col min="6408" max="6657" width="9.140625" style="144"/>
    <col min="6658" max="6660" width="13.7109375" style="144" customWidth="1"/>
    <col min="6661" max="6662" width="9.140625" style="144"/>
    <col min="6663" max="6663" width="11.140625" style="144" bestFit="1" customWidth="1"/>
    <col min="6664" max="6913" width="9.140625" style="144"/>
    <col min="6914" max="6916" width="13.7109375" style="144" customWidth="1"/>
    <col min="6917" max="6918" width="9.140625" style="144"/>
    <col min="6919" max="6919" width="11.140625" style="144" bestFit="1" customWidth="1"/>
    <col min="6920" max="7169" width="9.140625" style="144"/>
    <col min="7170" max="7172" width="13.7109375" style="144" customWidth="1"/>
    <col min="7173" max="7174" width="9.140625" style="144"/>
    <col min="7175" max="7175" width="11.140625" style="144" bestFit="1" customWidth="1"/>
    <col min="7176" max="7425" width="9.140625" style="144"/>
    <col min="7426" max="7428" width="13.7109375" style="144" customWidth="1"/>
    <col min="7429" max="7430" width="9.140625" style="144"/>
    <col min="7431" max="7431" width="11.140625" style="144" bestFit="1" customWidth="1"/>
    <col min="7432" max="7681" width="9.140625" style="144"/>
    <col min="7682" max="7684" width="13.7109375" style="144" customWidth="1"/>
    <col min="7685" max="7686" width="9.140625" style="144"/>
    <col min="7687" max="7687" width="11.140625" style="144" bestFit="1" customWidth="1"/>
    <col min="7688" max="7937" width="9.140625" style="144"/>
    <col min="7938" max="7940" width="13.7109375" style="144" customWidth="1"/>
    <col min="7941" max="7942" width="9.140625" style="144"/>
    <col min="7943" max="7943" width="11.140625" style="144" bestFit="1" customWidth="1"/>
    <col min="7944" max="8193" width="9.140625" style="144"/>
    <col min="8194" max="8196" width="13.7109375" style="144" customWidth="1"/>
    <col min="8197" max="8198" width="9.140625" style="144"/>
    <col min="8199" max="8199" width="11.140625" style="144" bestFit="1" customWidth="1"/>
    <col min="8200" max="8449" width="9.140625" style="144"/>
    <col min="8450" max="8452" width="13.7109375" style="144" customWidth="1"/>
    <col min="8453" max="8454" width="9.140625" style="144"/>
    <col min="8455" max="8455" width="11.140625" style="144" bestFit="1" customWidth="1"/>
    <col min="8456" max="8705" width="9.140625" style="144"/>
    <col min="8706" max="8708" width="13.7109375" style="144" customWidth="1"/>
    <col min="8709" max="8710" width="9.140625" style="144"/>
    <col min="8711" max="8711" width="11.140625" style="144" bestFit="1" customWidth="1"/>
    <col min="8712" max="8961" width="9.140625" style="144"/>
    <col min="8962" max="8964" width="13.7109375" style="144" customWidth="1"/>
    <col min="8965" max="8966" width="9.140625" style="144"/>
    <col min="8967" max="8967" width="11.140625" style="144" bestFit="1" customWidth="1"/>
    <col min="8968" max="9217" width="9.140625" style="144"/>
    <col min="9218" max="9220" width="13.7109375" style="144" customWidth="1"/>
    <col min="9221" max="9222" width="9.140625" style="144"/>
    <col min="9223" max="9223" width="11.140625" style="144" bestFit="1" customWidth="1"/>
    <col min="9224" max="9473" width="9.140625" style="144"/>
    <col min="9474" max="9476" width="13.7109375" style="144" customWidth="1"/>
    <col min="9477" max="9478" width="9.140625" style="144"/>
    <col min="9479" max="9479" width="11.140625" style="144" bestFit="1" customWidth="1"/>
    <col min="9480" max="9729" width="9.140625" style="144"/>
    <col min="9730" max="9732" width="13.7109375" style="144" customWidth="1"/>
    <col min="9733" max="9734" width="9.140625" style="144"/>
    <col min="9735" max="9735" width="11.140625" style="144" bestFit="1" customWidth="1"/>
    <col min="9736" max="9985" width="9.140625" style="144"/>
    <col min="9986" max="9988" width="13.7109375" style="144" customWidth="1"/>
    <col min="9989" max="9990" width="9.140625" style="144"/>
    <col min="9991" max="9991" width="11.140625" style="144" bestFit="1" customWidth="1"/>
    <col min="9992" max="10241" width="9.140625" style="144"/>
    <col min="10242" max="10244" width="13.7109375" style="144" customWidth="1"/>
    <col min="10245" max="10246" width="9.140625" style="144"/>
    <col min="10247" max="10247" width="11.140625" style="144" bestFit="1" customWidth="1"/>
    <col min="10248" max="10497" width="9.140625" style="144"/>
    <col min="10498" max="10500" width="13.7109375" style="144" customWidth="1"/>
    <col min="10501" max="10502" width="9.140625" style="144"/>
    <col min="10503" max="10503" width="11.140625" style="144" bestFit="1" customWidth="1"/>
    <col min="10504" max="10753" width="9.140625" style="144"/>
    <col min="10754" max="10756" width="13.7109375" style="144" customWidth="1"/>
    <col min="10757" max="10758" width="9.140625" style="144"/>
    <col min="10759" max="10759" width="11.140625" style="144" bestFit="1" customWidth="1"/>
    <col min="10760" max="11009" width="9.140625" style="144"/>
    <col min="11010" max="11012" width="13.7109375" style="144" customWidth="1"/>
    <col min="11013" max="11014" width="9.140625" style="144"/>
    <col min="11015" max="11015" width="11.140625" style="144" bestFit="1" customWidth="1"/>
    <col min="11016" max="11265" width="9.140625" style="144"/>
    <col min="11266" max="11268" width="13.7109375" style="144" customWidth="1"/>
    <col min="11269" max="11270" width="9.140625" style="144"/>
    <col min="11271" max="11271" width="11.140625" style="144" bestFit="1" customWidth="1"/>
    <col min="11272" max="11521" width="9.140625" style="144"/>
    <col min="11522" max="11524" width="13.7109375" style="144" customWidth="1"/>
    <col min="11525" max="11526" width="9.140625" style="144"/>
    <col min="11527" max="11527" width="11.140625" style="144" bestFit="1" customWidth="1"/>
    <col min="11528" max="11777" width="9.140625" style="144"/>
    <col min="11778" max="11780" width="13.7109375" style="144" customWidth="1"/>
    <col min="11781" max="11782" width="9.140625" style="144"/>
    <col min="11783" max="11783" width="11.140625" style="144" bestFit="1" customWidth="1"/>
    <col min="11784" max="12033" width="9.140625" style="144"/>
    <col min="12034" max="12036" width="13.7109375" style="144" customWidth="1"/>
    <col min="12037" max="12038" width="9.140625" style="144"/>
    <col min="12039" max="12039" width="11.140625" style="144" bestFit="1" customWidth="1"/>
    <col min="12040" max="12289" width="9.140625" style="144"/>
    <col min="12290" max="12292" width="13.7109375" style="144" customWidth="1"/>
    <col min="12293" max="12294" width="9.140625" style="144"/>
    <col min="12295" max="12295" width="11.140625" style="144" bestFit="1" customWidth="1"/>
    <col min="12296" max="12545" width="9.140625" style="144"/>
    <col min="12546" max="12548" width="13.7109375" style="144" customWidth="1"/>
    <col min="12549" max="12550" width="9.140625" style="144"/>
    <col min="12551" max="12551" width="11.140625" style="144" bestFit="1" customWidth="1"/>
    <col min="12552" max="12801" width="9.140625" style="144"/>
    <col min="12802" max="12804" width="13.7109375" style="144" customWidth="1"/>
    <col min="12805" max="12806" width="9.140625" style="144"/>
    <col min="12807" max="12807" width="11.140625" style="144" bestFit="1" customWidth="1"/>
    <col min="12808" max="13057" width="9.140625" style="144"/>
    <col min="13058" max="13060" width="13.7109375" style="144" customWidth="1"/>
    <col min="13061" max="13062" width="9.140625" style="144"/>
    <col min="13063" max="13063" width="11.140625" style="144" bestFit="1" customWidth="1"/>
    <col min="13064" max="13313" width="9.140625" style="144"/>
    <col min="13314" max="13316" width="13.7109375" style="144" customWidth="1"/>
    <col min="13317" max="13318" width="9.140625" style="144"/>
    <col min="13319" max="13319" width="11.140625" style="144" bestFit="1" customWidth="1"/>
    <col min="13320" max="13569" width="9.140625" style="144"/>
    <col min="13570" max="13572" width="13.7109375" style="144" customWidth="1"/>
    <col min="13573" max="13574" width="9.140625" style="144"/>
    <col min="13575" max="13575" width="11.140625" style="144" bestFit="1" customWidth="1"/>
    <col min="13576" max="13825" width="9.140625" style="144"/>
    <col min="13826" max="13828" width="13.7109375" style="144" customWidth="1"/>
    <col min="13829" max="13830" width="9.140625" style="144"/>
    <col min="13831" max="13831" width="11.140625" style="144" bestFit="1" customWidth="1"/>
    <col min="13832" max="14081" width="9.140625" style="144"/>
    <col min="14082" max="14084" width="13.7109375" style="144" customWidth="1"/>
    <col min="14085" max="14086" width="9.140625" style="144"/>
    <col min="14087" max="14087" width="11.140625" style="144" bestFit="1" customWidth="1"/>
    <col min="14088" max="14337" width="9.140625" style="144"/>
    <col min="14338" max="14340" width="13.7109375" style="144" customWidth="1"/>
    <col min="14341" max="14342" width="9.140625" style="144"/>
    <col min="14343" max="14343" width="11.140625" style="144" bestFit="1" customWidth="1"/>
    <col min="14344" max="14593" width="9.140625" style="144"/>
    <col min="14594" max="14596" width="13.7109375" style="144" customWidth="1"/>
    <col min="14597" max="14598" width="9.140625" style="144"/>
    <col min="14599" max="14599" width="11.140625" style="144" bestFit="1" customWidth="1"/>
    <col min="14600" max="14849" width="9.140625" style="144"/>
    <col min="14850" max="14852" width="13.7109375" style="144" customWidth="1"/>
    <col min="14853" max="14854" width="9.140625" style="144"/>
    <col min="14855" max="14855" width="11.140625" style="144" bestFit="1" customWidth="1"/>
    <col min="14856" max="15105" width="9.140625" style="144"/>
    <col min="15106" max="15108" width="13.7109375" style="144" customWidth="1"/>
    <col min="15109" max="15110" width="9.140625" style="144"/>
    <col min="15111" max="15111" width="11.140625" style="144" bestFit="1" customWidth="1"/>
    <col min="15112" max="15361" width="9.140625" style="144"/>
    <col min="15362" max="15364" width="13.7109375" style="144" customWidth="1"/>
    <col min="15365" max="15366" width="9.140625" style="144"/>
    <col min="15367" max="15367" width="11.140625" style="144" bestFit="1" customWidth="1"/>
    <col min="15368" max="15617" width="9.140625" style="144"/>
    <col min="15618" max="15620" width="13.7109375" style="144" customWidth="1"/>
    <col min="15621" max="15622" width="9.140625" style="144"/>
    <col min="15623" max="15623" width="11.140625" style="144" bestFit="1" customWidth="1"/>
    <col min="15624" max="15873" width="9.140625" style="144"/>
    <col min="15874" max="15876" width="13.7109375" style="144" customWidth="1"/>
    <col min="15877" max="15878" width="9.140625" style="144"/>
    <col min="15879" max="15879" width="11.140625" style="144" bestFit="1" customWidth="1"/>
    <col min="15880" max="16129" width="9.140625" style="144"/>
    <col min="16130" max="16132" width="13.7109375" style="144" customWidth="1"/>
    <col min="16133" max="16134" width="9.140625" style="144"/>
    <col min="16135" max="16135" width="11.140625" style="144" bestFit="1" customWidth="1"/>
    <col min="16136" max="16384" width="9.140625" style="144"/>
  </cols>
  <sheetData>
    <row r="1" spans="1:9">
      <c r="A1" s="142" t="s">
        <v>274</v>
      </c>
    </row>
    <row r="2" spans="1:9">
      <c r="F2" s="145"/>
      <c r="G2" s="145"/>
      <c r="H2" s="145"/>
      <c r="I2" s="145"/>
    </row>
    <row r="3" spans="1:9">
      <c r="A3" s="146" t="s">
        <v>275</v>
      </c>
      <c r="B3" s="147" t="s">
        <v>276</v>
      </c>
      <c r="C3" s="147" t="s">
        <v>13</v>
      </c>
      <c r="D3" s="147" t="s">
        <v>277</v>
      </c>
      <c r="F3" s="145"/>
      <c r="G3" s="145"/>
      <c r="H3" s="145"/>
      <c r="I3" s="145"/>
    </row>
    <row r="4" spans="1:9">
      <c r="A4" s="148">
        <v>41518</v>
      </c>
      <c r="B4" s="149">
        <f>'Collateral Tables'!I9/400000000</f>
        <v>8.1764955000000002E-4</v>
      </c>
      <c r="C4" s="149">
        <f>'Collateral Tables'!I23/400000000</f>
        <v>1.1157090909091038E-6</v>
      </c>
      <c r="D4" s="149">
        <f>B4-C4</f>
        <v>8.1653384090909088E-4</v>
      </c>
      <c r="F4" s="150"/>
      <c r="G4" s="150"/>
      <c r="H4" s="150"/>
      <c r="I4" s="145"/>
    </row>
    <row r="5" spans="1:9">
      <c r="A5" s="148">
        <v>41609</v>
      </c>
      <c r="B5" s="151">
        <f>'Collateral Tables'!E9/400000000</f>
        <v>2.4623477500000001E-4</v>
      </c>
      <c r="C5" s="149">
        <f>'Collateral Tables'!E23/400000000</f>
        <v>2.3625E-4</v>
      </c>
      <c r="D5" s="149">
        <f>B5-C5</f>
        <v>9.9847750000000115E-6</v>
      </c>
      <c r="F5" s="152"/>
      <c r="G5" s="150"/>
      <c r="H5" s="150"/>
      <c r="I5" s="145"/>
    </row>
    <row r="6" spans="1:9">
      <c r="A6" s="148"/>
      <c r="B6" s="153"/>
      <c r="C6" s="149"/>
      <c r="D6" s="149"/>
      <c r="F6" s="150"/>
      <c r="G6" s="152"/>
      <c r="H6" s="150"/>
      <c r="I6" s="145"/>
    </row>
    <row r="7" spans="1:9">
      <c r="A7" s="148"/>
      <c r="B7" s="153"/>
      <c r="C7" s="149"/>
      <c r="D7" s="149"/>
      <c r="F7" s="150"/>
      <c r="G7" s="150"/>
      <c r="H7" s="150"/>
      <c r="I7" s="145"/>
    </row>
    <row r="8" spans="1:9">
      <c r="A8" s="148"/>
      <c r="B8" s="153"/>
      <c r="C8" s="149"/>
      <c r="D8" s="149"/>
      <c r="F8" s="145"/>
      <c r="G8" s="145"/>
      <c r="H8" s="145"/>
      <c r="I8" s="145"/>
    </row>
    <row r="9" spans="1:9">
      <c r="A9" s="148"/>
      <c r="B9" s="153"/>
      <c r="C9" s="149"/>
      <c r="D9" s="149"/>
      <c r="F9" s="145"/>
      <c r="G9" s="145"/>
      <c r="H9" s="145"/>
      <c r="I9" s="145"/>
    </row>
    <row r="10" spans="1:9">
      <c r="A10" s="148"/>
      <c r="B10" s="153"/>
      <c r="C10" s="149"/>
      <c r="D10" s="149"/>
    </row>
    <row r="11" spans="1:9">
      <c r="A11" s="148"/>
      <c r="B11" s="153"/>
      <c r="C11" s="149"/>
      <c r="D11" s="149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DD15ED4FA2F2479FE7D2A0B7FEA00C" ma:contentTypeVersion="1" ma:contentTypeDescription="Create a new document." ma:contentTypeScope="" ma:versionID="a877a7a77113ed9cf34108373da63be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8A01FF-B52F-4865-99B8-F0AA39544666}"/>
</file>

<file path=customXml/itemProps2.xml><?xml version="1.0" encoding="utf-8"?>
<ds:datastoreItem xmlns:ds="http://schemas.openxmlformats.org/officeDocument/2006/customXml" ds:itemID="{48A317E9-4324-499F-8B5E-306B77D1055A}"/>
</file>

<file path=customXml/itemProps3.xml><?xml version="1.0" encoding="utf-8"?>
<ds:datastoreItem xmlns:ds="http://schemas.openxmlformats.org/officeDocument/2006/customXml" ds:itemID="{4F19A84C-C071-479A-B07E-AB61ED32453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Collateral Tables</vt:lpstr>
      <vt:lpstr>Note Balances</vt:lpstr>
      <vt:lpstr>Cumulative Defaults</vt:lpstr>
      <vt:lpstr>'Collateral Tables'!Print_Area</vt:lpstr>
      <vt:lpstr>'Collateral Tables'!Print_Titles</vt:lpstr>
    </vt:vector>
  </TitlesOfParts>
  <Company>Societe Generale Australia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jxa</dc:creator>
  <cp:lastModifiedBy>Administrator</cp:lastModifiedBy>
  <cp:lastPrinted>2013-10-09T02:16:10Z</cp:lastPrinted>
  <dcterms:created xsi:type="dcterms:W3CDTF">2002-07-29T05:07:38Z</dcterms:created>
  <dcterms:modified xsi:type="dcterms:W3CDTF">2014-01-20T22:55:06Z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0x01010035DD15ED4FA2F2479FE7D2A0B7FEA00C</vt:lpwstr>
  </property>
</Properties>
</file>