
<file path=[Content_Types].xml><?xml version="1.0" encoding="utf-8"?>
<Types xmlns="http://schemas.openxmlformats.org/package/2006/content-types">
  <Override PartName="/customXml/itemProps3.xml" ContentType="application/vnd.openxmlformats-officedocument.customXmlProperties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vbaProject.bin" ContentType="application/vnd.ms-office.vbaProject"/>
  <Default Extension="xml" ContentType="application/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drawings/drawing2.xml" ContentType="application/vnd.openxmlformats-officedocument.drawingml.chartshapes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workbook.xml" ContentType="application/vnd.ms-excel.sheet.macroEnabled.main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drawings/drawing1.xml" ContentType="application/vnd.openxmlformats-officedocument.drawing+xml"/>
  <Default Extension="vml" ContentType="application/vnd.openxmlformats-officedocument.vmlDrawing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7070" yWindow="780" windowWidth="10920" windowHeight="13155"/>
  </bookViews>
  <sheets>
    <sheet name="Cumulative Defaults" sheetId="82" r:id="rId1"/>
    <sheet name="Collateral Tables" sheetId="83" r:id="rId2"/>
    <sheet name="Note Balances" sheetId="84" r:id="rId3"/>
  </sheets>
  <functionGroups builtInGroupCount="17"/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ABS_pg1" localSheetId="1">#REF!</definedName>
    <definedName name="ABS_pg1" localSheetId="0">#REF!</definedName>
    <definedName name="ABS_pg1">#REF!</definedName>
    <definedName name="ABS_pg2" localSheetId="1">#REF!</definedName>
    <definedName name="ABS_pg2" localSheetId="0">#REF!</definedName>
    <definedName name="ABS_pg2">#REF!</definedName>
    <definedName name="Chargeoffs" localSheetId="1">#REF!</definedName>
    <definedName name="Chargeoffs" localSheetId="0">#REF!</definedName>
    <definedName name="Chargeoffs">#REF!</definedName>
    <definedName name="Input_Key" localSheetId="1">#REF!</definedName>
    <definedName name="Input_Key" localSheetId="0">#REF!</definedName>
    <definedName name="Input_Key">#REF!</definedName>
    <definedName name="Input_Key_pg2" localSheetId="1">#REF!</definedName>
    <definedName name="Input_Key_pg2" localSheetId="0">#REF!</definedName>
    <definedName name="Input_Key_pg2">#REF!</definedName>
    <definedName name="Payment_Directions_pg1" localSheetId="1">#REF!</definedName>
    <definedName name="Payment_Directions_pg1" localSheetId="0">#REF!</definedName>
    <definedName name="Payment_Directions_pg1">#REF!</definedName>
    <definedName name="Payment_Directions_pg2" localSheetId="1">#REF!</definedName>
    <definedName name="Payment_Directions_pg2" localSheetId="0">#REF!</definedName>
    <definedName name="Payment_Directions_pg2">#REF!</definedName>
    <definedName name="_xlnm.Print_Area" localSheetId="1">'Collateral Tables'!$B$1:$AA$261</definedName>
    <definedName name="_xlnm.Print_Titles" localSheetId="1">'Collateral Tables'!$1:$4</definedName>
    <definedName name="QMR_pg1" localSheetId="1">#REF!</definedName>
    <definedName name="QMR_pg1" localSheetId="0">#REF!</definedName>
    <definedName name="QMR_pg1">#REF!</definedName>
    <definedName name="QMR_pg2" localSheetId="1">#REF!</definedName>
    <definedName name="QMR_pg2" localSheetId="0">#REF!</definedName>
    <definedName name="QMR_pg2">#REF!</definedName>
    <definedName name="QMR_pg3" localSheetId="1">#REF!</definedName>
    <definedName name="QMR_pg3" localSheetId="0">#REF!</definedName>
    <definedName name="QMR_pg3">#REF!</definedName>
    <definedName name="QMR_pg4" localSheetId="1">#REF!</definedName>
    <definedName name="QMR_pg4" localSheetId="0">#REF!</definedName>
    <definedName name="QMR_pg4">#REF!</definedName>
  </definedNames>
  <calcPr calcId="145621"/>
</workbook>
</file>

<file path=xl/calcChain.xml><?xml version="1.0" encoding="utf-8"?>
<calcChain xmlns="http://schemas.openxmlformats.org/spreadsheetml/2006/main">
  <c r="C13" i="82" l="1"/>
  <c r="B13" i="82"/>
  <c r="D13" i="82"/>
  <c r="C12" i="82"/>
  <c r="B12" i="82"/>
  <c r="F246" i="83"/>
  <c r="AL243" i="83"/>
  <c r="AH243" i="83"/>
  <c r="AD243" i="83"/>
  <c r="Z243" i="83"/>
  <c r="V243" i="83"/>
  <c r="F243" i="83"/>
  <c r="N241" i="83"/>
  <c r="F241" i="83"/>
  <c r="AL240" i="83"/>
  <c r="AH240" i="83"/>
  <c r="AD240" i="83"/>
  <c r="Z240" i="83"/>
  <c r="V240" i="83"/>
  <c r="M240" i="83"/>
  <c r="E240" i="83"/>
  <c r="AL239" i="83"/>
  <c r="AH239" i="83"/>
  <c r="AD239" i="83"/>
  <c r="Z239" i="83"/>
  <c r="V239" i="83"/>
  <c r="M239" i="83"/>
  <c r="E239" i="83"/>
  <c r="AL238" i="83"/>
  <c r="AH238" i="83"/>
  <c r="AD238" i="83"/>
  <c r="Z238" i="83"/>
  <c r="V238" i="83"/>
  <c r="M238" i="83"/>
  <c r="E238" i="83"/>
  <c r="AL237" i="83"/>
  <c r="AH237" i="83"/>
  <c r="AD237" i="83"/>
  <c r="Z237" i="83"/>
  <c r="V237" i="83"/>
  <c r="M237" i="83"/>
  <c r="E237" i="83"/>
  <c r="AL236" i="83"/>
  <c r="AH236" i="83"/>
  <c r="AD236" i="83"/>
  <c r="Z236" i="83"/>
  <c r="V236" i="83"/>
  <c r="M236" i="83"/>
  <c r="E236" i="83"/>
  <c r="AL235" i="83"/>
  <c r="AH235" i="83"/>
  <c r="AD235" i="83"/>
  <c r="Z235" i="83"/>
  <c r="V235" i="83"/>
  <c r="M235" i="83"/>
  <c r="E235" i="83"/>
  <c r="AL234" i="83"/>
  <c r="AH234" i="83"/>
  <c r="AD234" i="83"/>
  <c r="Z234" i="83"/>
  <c r="V234" i="83"/>
  <c r="M234" i="83"/>
  <c r="E234" i="83"/>
  <c r="AL233" i="83"/>
  <c r="AH233" i="83"/>
  <c r="AD233" i="83"/>
  <c r="Z233" i="83"/>
  <c r="V233" i="83"/>
  <c r="M233" i="83"/>
  <c r="E233" i="83"/>
  <c r="AL232" i="83"/>
  <c r="AL241" i="83" s="1"/>
  <c r="AK231" i="83" s="1"/>
  <c r="AH232" i="83"/>
  <c r="AD232" i="83"/>
  <c r="Z232" i="83"/>
  <c r="V232" i="83"/>
  <c r="M232" i="83"/>
  <c r="E232" i="83"/>
  <c r="E241" i="83" s="1"/>
  <c r="AH231" i="83"/>
  <c r="AD231" i="83"/>
  <c r="Z231" i="83"/>
  <c r="V231" i="83"/>
  <c r="M231" i="83"/>
  <c r="M241" i="83" s="1"/>
  <c r="E231" i="83"/>
  <c r="AH228" i="83"/>
  <c r="V228" i="83"/>
  <c r="AL227" i="83"/>
  <c r="AH227" i="83"/>
  <c r="AD227" i="83"/>
  <c r="Z227" i="83"/>
  <c r="V227" i="83"/>
  <c r="F227" i="83"/>
  <c r="AL226" i="83"/>
  <c r="AH226" i="83"/>
  <c r="AD226" i="83"/>
  <c r="Z226" i="83"/>
  <c r="V226" i="83"/>
  <c r="F226" i="83"/>
  <c r="AL225" i="83"/>
  <c r="AH225" i="83"/>
  <c r="AD225" i="83"/>
  <c r="Z225" i="83"/>
  <c r="V225" i="83"/>
  <c r="F225" i="83"/>
  <c r="AL224" i="83"/>
  <c r="AH224" i="83"/>
  <c r="AD224" i="83"/>
  <c r="Z224" i="83"/>
  <c r="V224" i="83"/>
  <c r="F224" i="83"/>
  <c r="AL223" i="83"/>
  <c r="AH223" i="83"/>
  <c r="AD223" i="83"/>
  <c r="Z223" i="83"/>
  <c r="V223" i="83"/>
  <c r="F223" i="83"/>
  <c r="AL222" i="83"/>
  <c r="AH222" i="83"/>
  <c r="AD222" i="83"/>
  <c r="Z222" i="83"/>
  <c r="V222" i="83"/>
  <c r="F222" i="83"/>
  <c r="AL218" i="83"/>
  <c r="AH218" i="83"/>
  <c r="AD218" i="83"/>
  <c r="Z218" i="83"/>
  <c r="V218" i="83"/>
  <c r="F218" i="83"/>
  <c r="AL217" i="83"/>
  <c r="AH217" i="83"/>
  <c r="AD217" i="83"/>
  <c r="AH214" i="83"/>
  <c r="V214" i="83"/>
  <c r="AL213" i="83"/>
  <c r="AH213" i="83"/>
  <c r="AD213" i="83"/>
  <c r="Z213" i="83"/>
  <c r="V213" i="83"/>
  <c r="F213" i="83"/>
  <c r="AL212" i="83"/>
  <c r="AH212" i="83"/>
  <c r="AD212" i="83"/>
  <c r="Z212" i="83"/>
  <c r="V212" i="83"/>
  <c r="F212" i="83"/>
  <c r="AL211" i="83"/>
  <c r="AH211" i="83"/>
  <c r="AD211" i="83"/>
  <c r="Z211" i="83"/>
  <c r="V211" i="83"/>
  <c r="F211" i="83"/>
  <c r="AP208" i="83"/>
  <c r="AO205" i="83" s="1"/>
  <c r="U208" i="83"/>
  <c r="AL206" i="83"/>
  <c r="AH206" i="83"/>
  <c r="AD206" i="83"/>
  <c r="AC206" i="83"/>
  <c r="Z206" i="83"/>
  <c r="V206" i="83"/>
  <c r="U206" i="83"/>
  <c r="F206" i="83"/>
  <c r="AP205" i="83"/>
  <c r="AL205" i="83"/>
  <c r="AL208" i="83" s="1"/>
  <c r="AH205" i="83"/>
  <c r="AH208" i="83" s="1"/>
  <c r="AG206" i="83" s="1"/>
  <c r="AG205" i="83"/>
  <c r="AD205" i="83"/>
  <c r="AD208" i="83" s="1"/>
  <c r="AC205" i="83" s="1"/>
  <c r="Z205" i="83"/>
  <c r="Z208" i="83" s="1"/>
  <c r="Y206" i="83" s="1"/>
  <c r="Y205" i="83"/>
  <c r="V205" i="83"/>
  <c r="V208" i="83" s="1"/>
  <c r="U205" i="83" s="1"/>
  <c r="F205" i="83"/>
  <c r="F208" i="83" s="1"/>
  <c r="E206" i="83" s="1"/>
  <c r="E205" i="83"/>
  <c r="E208" i="83" s="1"/>
  <c r="AH201" i="83"/>
  <c r="AD201" i="83"/>
  <c r="Z201" i="83"/>
  <c r="V201" i="83"/>
  <c r="F201" i="83"/>
  <c r="AL200" i="83"/>
  <c r="AH200" i="83"/>
  <c r="AD200" i="83"/>
  <c r="F200" i="83"/>
  <c r="AL199" i="83"/>
  <c r="AH199" i="83"/>
  <c r="AD199" i="83"/>
  <c r="Z199" i="83"/>
  <c r="V199" i="83"/>
  <c r="F199" i="83"/>
  <c r="AL198" i="83"/>
  <c r="AH198" i="83"/>
  <c r="AD198" i="83"/>
  <c r="Z198" i="83"/>
  <c r="V198" i="83"/>
  <c r="F198" i="83"/>
  <c r="AL197" i="83"/>
  <c r="AH197" i="83"/>
  <c r="AD197" i="83"/>
  <c r="Z197" i="83"/>
  <c r="V197" i="83"/>
  <c r="F197" i="83"/>
  <c r="AL196" i="83"/>
  <c r="AH196" i="83"/>
  <c r="AD196" i="83"/>
  <c r="Z196" i="83"/>
  <c r="V196" i="83"/>
  <c r="F196" i="83"/>
  <c r="AL195" i="83"/>
  <c r="AH195" i="83"/>
  <c r="AD195" i="83"/>
  <c r="Z195" i="83"/>
  <c r="V195" i="83"/>
  <c r="F195" i="83"/>
  <c r="AL194" i="83"/>
  <c r="AH194" i="83"/>
  <c r="AD194" i="83"/>
  <c r="Z194" i="83"/>
  <c r="V194" i="83"/>
  <c r="F194" i="83"/>
  <c r="AL193" i="83"/>
  <c r="AH193" i="83"/>
  <c r="AD193" i="83"/>
  <c r="Z193" i="83"/>
  <c r="V193" i="83"/>
  <c r="F193" i="83"/>
  <c r="AL192" i="83"/>
  <c r="AH192" i="83"/>
  <c r="AD192" i="83"/>
  <c r="Z192" i="83"/>
  <c r="V192" i="83"/>
  <c r="F192" i="83"/>
  <c r="AL189" i="83"/>
  <c r="AH189" i="83"/>
  <c r="AD189" i="83"/>
  <c r="V189" i="83"/>
  <c r="U189" i="83"/>
  <c r="F189" i="83"/>
  <c r="AK188" i="83"/>
  <c r="AH188" i="83"/>
  <c r="AD188" i="83"/>
  <c r="AC188" i="83"/>
  <c r="Z188" i="83"/>
  <c r="Y188" i="83"/>
  <c r="V188" i="83"/>
  <c r="U188" i="83"/>
  <c r="F188" i="83"/>
  <c r="E188" i="83"/>
  <c r="AL187" i="83"/>
  <c r="AK187" i="83"/>
  <c r="AH187" i="83"/>
  <c r="AD187" i="83"/>
  <c r="AC187" i="83"/>
  <c r="Z187" i="83"/>
  <c r="Y187" i="83"/>
  <c r="V187" i="83"/>
  <c r="U187" i="83"/>
  <c r="F187" i="83"/>
  <c r="E187" i="83"/>
  <c r="AL186" i="83"/>
  <c r="AK186" i="83"/>
  <c r="AH186" i="83"/>
  <c r="AD186" i="83"/>
  <c r="AC186" i="83"/>
  <c r="Z186" i="83"/>
  <c r="Y186" i="83"/>
  <c r="V186" i="83"/>
  <c r="U186" i="83"/>
  <c r="F186" i="83"/>
  <c r="E186" i="83"/>
  <c r="AL185" i="83"/>
  <c r="AK185" i="83"/>
  <c r="AH185" i="83"/>
  <c r="AD185" i="83"/>
  <c r="AC185" i="83"/>
  <c r="Z185" i="83"/>
  <c r="Y185" i="83"/>
  <c r="V185" i="83"/>
  <c r="U185" i="83"/>
  <c r="F185" i="83"/>
  <c r="E185" i="83"/>
  <c r="AL184" i="83"/>
  <c r="AK184" i="83"/>
  <c r="AH184" i="83"/>
  <c r="AD184" i="83"/>
  <c r="AC184" i="83"/>
  <c r="Z184" i="83"/>
  <c r="Y184" i="83"/>
  <c r="V184" i="83"/>
  <c r="U184" i="83"/>
  <c r="F184" i="83"/>
  <c r="E184" i="83"/>
  <c r="AL183" i="83"/>
  <c r="AK183" i="83"/>
  <c r="AK189" i="83" s="1"/>
  <c r="AH183" i="83"/>
  <c r="AD183" i="83"/>
  <c r="AC183" i="83"/>
  <c r="AC189" i="83" s="1"/>
  <c r="Z183" i="83"/>
  <c r="Z189" i="83" s="1"/>
  <c r="Y183" i="83"/>
  <c r="Y189" i="83" s="1"/>
  <c r="V183" i="83"/>
  <c r="U183" i="83"/>
  <c r="F183" i="83"/>
  <c r="E183" i="83"/>
  <c r="E189" i="83" s="1"/>
  <c r="F180" i="83"/>
  <c r="AH179" i="83"/>
  <c r="AD179" i="83"/>
  <c r="Z179" i="83"/>
  <c r="V179" i="83"/>
  <c r="F179" i="83"/>
  <c r="AL178" i="83"/>
  <c r="AH178" i="83"/>
  <c r="AD178" i="83"/>
  <c r="Z178" i="83"/>
  <c r="V178" i="83"/>
  <c r="F178" i="83"/>
  <c r="E178" i="83"/>
  <c r="AL177" i="83"/>
  <c r="AH177" i="83"/>
  <c r="AD177" i="83"/>
  <c r="Z177" i="83"/>
  <c r="V177" i="83"/>
  <c r="F177" i="83"/>
  <c r="AL176" i="83"/>
  <c r="AH176" i="83"/>
  <c r="AD176" i="83"/>
  <c r="Z176" i="83"/>
  <c r="V176" i="83"/>
  <c r="F176" i="83"/>
  <c r="AL175" i="83"/>
  <c r="AH175" i="83"/>
  <c r="AD175" i="83"/>
  <c r="Z175" i="83"/>
  <c r="V175" i="83"/>
  <c r="F175" i="83"/>
  <c r="AL174" i="83"/>
  <c r="AH174" i="83"/>
  <c r="AD174" i="83"/>
  <c r="Z174" i="83"/>
  <c r="V174" i="83"/>
  <c r="F174" i="83"/>
  <c r="AL173" i="83"/>
  <c r="AH173" i="83"/>
  <c r="AD173" i="83"/>
  <c r="Z173" i="83"/>
  <c r="V173" i="83"/>
  <c r="F173" i="83"/>
  <c r="AL172" i="83"/>
  <c r="AH172" i="83"/>
  <c r="AD172" i="83"/>
  <c r="Z172" i="83"/>
  <c r="V172" i="83"/>
  <c r="F172" i="83"/>
  <c r="AL171" i="83"/>
  <c r="AH171" i="83"/>
  <c r="AD171" i="83"/>
  <c r="Z171" i="83"/>
  <c r="V171" i="83"/>
  <c r="F171" i="83"/>
  <c r="AL170" i="83"/>
  <c r="AH170" i="83"/>
  <c r="AD170" i="83"/>
  <c r="V170" i="83"/>
  <c r="F170" i="83"/>
  <c r="AL169" i="83"/>
  <c r="AH169" i="83"/>
  <c r="AD169" i="83"/>
  <c r="Z169" i="83"/>
  <c r="V169" i="83"/>
  <c r="F169" i="83"/>
  <c r="AH164" i="83"/>
  <c r="AD164" i="83"/>
  <c r="Z164" i="83"/>
  <c r="V164" i="83"/>
  <c r="F164" i="83"/>
  <c r="AL163" i="83"/>
  <c r="AH163" i="83"/>
  <c r="AD163" i="83"/>
  <c r="Z163" i="83"/>
  <c r="V163" i="83"/>
  <c r="F163" i="83"/>
  <c r="AL162" i="83"/>
  <c r="AH162" i="83"/>
  <c r="AD162" i="83"/>
  <c r="Z162" i="83"/>
  <c r="V162" i="83"/>
  <c r="F162" i="83"/>
  <c r="AL161" i="83"/>
  <c r="AH161" i="83"/>
  <c r="AD161" i="83"/>
  <c r="Z161" i="83"/>
  <c r="V161" i="83"/>
  <c r="F161" i="83"/>
  <c r="AL160" i="83"/>
  <c r="AH160" i="83"/>
  <c r="AD160" i="83"/>
  <c r="Z160" i="83"/>
  <c r="V160" i="83"/>
  <c r="F160" i="83"/>
  <c r="AL159" i="83"/>
  <c r="AH159" i="83"/>
  <c r="AD159" i="83"/>
  <c r="Z159" i="83"/>
  <c r="V159" i="83"/>
  <c r="F159" i="83"/>
  <c r="AL158" i="83"/>
  <c r="AH158" i="83"/>
  <c r="AD158" i="83"/>
  <c r="Z158" i="83"/>
  <c r="V158" i="83"/>
  <c r="F158" i="83"/>
  <c r="AL157" i="83"/>
  <c r="AH157" i="83"/>
  <c r="AD157" i="83"/>
  <c r="Z157" i="83"/>
  <c r="V157" i="83"/>
  <c r="F157" i="83"/>
  <c r="AL156" i="83"/>
  <c r="AH156" i="83"/>
  <c r="AD156" i="83"/>
  <c r="Z156" i="83"/>
  <c r="V156" i="83"/>
  <c r="F156" i="83"/>
  <c r="AL155" i="83"/>
  <c r="AH155" i="83"/>
  <c r="AD155" i="83"/>
  <c r="Z155" i="83"/>
  <c r="V155" i="83"/>
  <c r="F155" i="83"/>
  <c r="AL154" i="83"/>
  <c r="AH154" i="83"/>
  <c r="AD154" i="83"/>
  <c r="Z154" i="83"/>
  <c r="V154" i="83"/>
  <c r="F154" i="83"/>
  <c r="AL153" i="83"/>
  <c r="AH153" i="83"/>
  <c r="AD153" i="83"/>
  <c r="Z153" i="83"/>
  <c r="V153" i="83"/>
  <c r="F153" i="83"/>
  <c r="AL152" i="83"/>
  <c r="AH152" i="83"/>
  <c r="AD152" i="83"/>
  <c r="Z152" i="83"/>
  <c r="V152" i="83"/>
  <c r="F152" i="83"/>
  <c r="AL151" i="83"/>
  <c r="AH151" i="83"/>
  <c r="AD151" i="83"/>
  <c r="Z151" i="83"/>
  <c r="V151" i="83"/>
  <c r="F151" i="83"/>
  <c r="AL150" i="83"/>
  <c r="AH150" i="83"/>
  <c r="AD150" i="83"/>
  <c r="Z150" i="83"/>
  <c r="V150" i="83"/>
  <c r="F150" i="83"/>
  <c r="AL149" i="83"/>
  <c r="AH149" i="83"/>
  <c r="AD149" i="83"/>
  <c r="Z149" i="83"/>
  <c r="V149" i="83"/>
  <c r="F149" i="83"/>
  <c r="AL148" i="83"/>
  <c r="AH148" i="83"/>
  <c r="AD148" i="83"/>
  <c r="Z148" i="83"/>
  <c r="V148" i="83"/>
  <c r="F148" i="83"/>
  <c r="AL147" i="83"/>
  <c r="AH147" i="83"/>
  <c r="AD147" i="83"/>
  <c r="Z147" i="83"/>
  <c r="V147" i="83"/>
  <c r="F147" i="83"/>
  <c r="AL146" i="83"/>
  <c r="AH146" i="83"/>
  <c r="AD146" i="83"/>
  <c r="Z146" i="83"/>
  <c r="V146" i="83"/>
  <c r="F146" i="83"/>
  <c r="AL145" i="83"/>
  <c r="AH145" i="83"/>
  <c r="AD145" i="83"/>
  <c r="Z145" i="83"/>
  <c r="V145" i="83"/>
  <c r="F145" i="83"/>
  <c r="AL144" i="83"/>
  <c r="AH144" i="83"/>
  <c r="AD144" i="83"/>
  <c r="Z144" i="83"/>
  <c r="V144" i="83"/>
  <c r="F144" i="83"/>
  <c r="AH143" i="83"/>
  <c r="AD143" i="83"/>
  <c r="Z143" i="83"/>
  <c r="V143" i="83"/>
  <c r="F143" i="83"/>
  <c r="AH142" i="83"/>
  <c r="AD142" i="83"/>
  <c r="Z142" i="83"/>
  <c r="V142" i="83"/>
  <c r="F142" i="83"/>
  <c r="AH141" i="83"/>
  <c r="AD141" i="83"/>
  <c r="Z141" i="83"/>
  <c r="V141" i="83"/>
  <c r="F141" i="83"/>
  <c r="AH140" i="83"/>
  <c r="AD140" i="83"/>
  <c r="Z140" i="83"/>
  <c r="V140" i="83"/>
  <c r="F140" i="83"/>
  <c r="AH139" i="83"/>
  <c r="AD139" i="83"/>
  <c r="Z139" i="83"/>
  <c r="V139" i="83"/>
  <c r="F139" i="83"/>
  <c r="AH138" i="83"/>
  <c r="AD138" i="83"/>
  <c r="Z138" i="83"/>
  <c r="V138" i="83"/>
  <c r="F138" i="83"/>
  <c r="AH137" i="83"/>
  <c r="AD137" i="83"/>
  <c r="Z137" i="83"/>
  <c r="V137" i="83"/>
  <c r="F137" i="83"/>
  <c r="AL133" i="83"/>
  <c r="AH133" i="83"/>
  <c r="AG133" i="83"/>
  <c r="AD133" i="83"/>
  <c r="Z133" i="83"/>
  <c r="Y133" i="83"/>
  <c r="V133" i="83"/>
  <c r="F133" i="83"/>
  <c r="E133" i="83"/>
  <c r="AL132" i="83"/>
  <c r="AH132" i="83"/>
  <c r="AG132" i="83"/>
  <c r="AD132" i="83"/>
  <c r="Z132" i="83"/>
  <c r="Y132" i="83"/>
  <c r="V132" i="83"/>
  <c r="F132" i="83"/>
  <c r="E132" i="83"/>
  <c r="AL131" i="83"/>
  <c r="AH131" i="83"/>
  <c r="AG131" i="83"/>
  <c r="AD131" i="83"/>
  <c r="Z131" i="83"/>
  <c r="Y131" i="83"/>
  <c r="V131" i="83"/>
  <c r="F131" i="83"/>
  <c r="E131" i="83"/>
  <c r="AL130" i="83"/>
  <c r="AH130" i="83"/>
  <c r="AG130" i="83"/>
  <c r="AD130" i="83"/>
  <c r="Z130" i="83"/>
  <c r="Y130" i="83"/>
  <c r="V130" i="83"/>
  <c r="F130" i="83"/>
  <c r="E130" i="83"/>
  <c r="AL129" i="83"/>
  <c r="AH129" i="83"/>
  <c r="AG129" i="83"/>
  <c r="AD129" i="83"/>
  <c r="Z129" i="83"/>
  <c r="Y129" i="83"/>
  <c r="V129" i="83"/>
  <c r="F129" i="83"/>
  <c r="E129" i="83"/>
  <c r="AL128" i="83"/>
  <c r="AH128" i="83"/>
  <c r="AG128" i="83"/>
  <c r="AD128" i="83"/>
  <c r="Z128" i="83"/>
  <c r="Y128" i="83"/>
  <c r="V128" i="83"/>
  <c r="F128" i="83"/>
  <c r="E128" i="83"/>
  <c r="AL127" i="83"/>
  <c r="AH127" i="83"/>
  <c r="AG127" i="83"/>
  <c r="AD127" i="83"/>
  <c r="Z127" i="83"/>
  <c r="Y127" i="83"/>
  <c r="V127" i="83"/>
  <c r="F127" i="83"/>
  <c r="E127" i="83"/>
  <c r="AL126" i="83"/>
  <c r="AH126" i="83"/>
  <c r="AG126" i="83"/>
  <c r="AD126" i="83"/>
  <c r="Z126" i="83"/>
  <c r="Y126" i="83"/>
  <c r="V126" i="83"/>
  <c r="F126" i="83"/>
  <c r="E126" i="83"/>
  <c r="E134" i="83" s="1"/>
  <c r="AL125" i="83"/>
  <c r="AH125" i="83"/>
  <c r="AG125" i="83"/>
  <c r="AD125" i="83"/>
  <c r="Z125" i="83"/>
  <c r="Y125" i="83"/>
  <c r="V125" i="83"/>
  <c r="F125" i="83"/>
  <c r="E125" i="83"/>
  <c r="AL124" i="83"/>
  <c r="AL134" i="83" s="1"/>
  <c r="AH124" i="83"/>
  <c r="AH134" i="83" s="1"/>
  <c r="AG124" i="83"/>
  <c r="AG134" i="83" s="1"/>
  <c r="AD124" i="83"/>
  <c r="AD134" i="83" s="1"/>
  <c r="Z124" i="83"/>
  <c r="Z134" i="83" s="1"/>
  <c r="Y124" i="83"/>
  <c r="V124" i="83"/>
  <c r="V134" i="83" s="1"/>
  <c r="F124" i="83"/>
  <c r="F134" i="83" s="1"/>
  <c r="E124" i="83"/>
  <c r="AL120" i="83"/>
  <c r="AK120" i="83"/>
  <c r="AH120" i="83"/>
  <c r="AD120" i="83"/>
  <c r="AC120" i="83"/>
  <c r="Z120" i="83"/>
  <c r="V120" i="83"/>
  <c r="U120" i="83"/>
  <c r="F120" i="83"/>
  <c r="AL119" i="83"/>
  <c r="AK119" i="83"/>
  <c r="AH119" i="83"/>
  <c r="AD119" i="83"/>
  <c r="AC119" i="83"/>
  <c r="Z119" i="83"/>
  <c r="V119" i="83"/>
  <c r="U119" i="83"/>
  <c r="F119" i="83"/>
  <c r="AL118" i="83"/>
  <c r="AK118" i="83"/>
  <c r="AH118" i="83"/>
  <c r="AD118" i="83"/>
  <c r="AC118" i="83"/>
  <c r="Z118" i="83"/>
  <c r="V118" i="83"/>
  <c r="U118" i="83"/>
  <c r="F118" i="83"/>
  <c r="AL117" i="83"/>
  <c r="AK117" i="83"/>
  <c r="AH117" i="83"/>
  <c r="AD117" i="83"/>
  <c r="AC117" i="83"/>
  <c r="Z117" i="83"/>
  <c r="V117" i="83"/>
  <c r="U117" i="83"/>
  <c r="F117" i="83"/>
  <c r="AL116" i="83"/>
  <c r="AK116" i="83"/>
  <c r="AH116" i="83"/>
  <c r="AD116" i="83"/>
  <c r="AC116" i="83"/>
  <c r="Z116" i="83"/>
  <c r="V116" i="83"/>
  <c r="U116" i="83"/>
  <c r="F116" i="83"/>
  <c r="AL115" i="83"/>
  <c r="AK115" i="83"/>
  <c r="AH115" i="83"/>
  <c r="AD115" i="83"/>
  <c r="AC115" i="83"/>
  <c r="Z115" i="83"/>
  <c r="V115" i="83"/>
  <c r="U115" i="83"/>
  <c r="F115" i="83"/>
  <c r="AL114" i="83"/>
  <c r="AK114" i="83"/>
  <c r="AH114" i="83"/>
  <c r="AD114" i="83"/>
  <c r="AC114" i="83"/>
  <c r="Z114" i="83"/>
  <c r="V114" i="83"/>
  <c r="U114" i="83"/>
  <c r="F114" i="83"/>
  <c r="AL113" i="83"/>
  <c r="AK113" i="83"/>
  <c r="AH113" i="83"/>
  <c r="AD113" i="83"/>
  <c r="AC113" i="83"/>
  <c r="Z113" i="83"/>
  <c r="V113" i="83"/>
  <c r="U113" i="83"/>
  <c r="F113" i="83"/>
  <c r="AL112" i="83"/>
  <c r="AK112" i="83"/>
  <c r="AH112" i="83"/>
  <c r="AD112" i="83"/>
  <c r="AC112" i="83"/>
  <c r="Z112" i="83"/>
  <c r="V112" i="83"/>
  <c r="U112" i="83"/>
  <c r="F112" i="83"/>
  <c r="AL111" i="83"/>
  <c r="AK111" i="83"/>
  <c r="AK121" i="83" s="1"/>
  <c r="AH111" i="83"/>
  <c r="AD111" i="83"/>
  <c r="AC111" i="83"/>
  <c r="Z111" i="83"/>
  <c r="V111" i="83"/>
  <c r="U111" i="83"/>
  <c r="F111" i="83"/>
  <c r="AL110" i="83"/>
  <c r="AL121" i="83" s="1"/>
  <c r="AK110" i="83"/>
  <c r="AH110" i="83"/>
  <c r="AH121" i="83" s="1"/>
  <c r="AD110" i="83"/>
  <c r="AD121" i="83" s="1"/>
  <c r="AC110" i="83"/>
  <c r="Z110" i="83"/>
  <c r="Z121" i="83" s="1"/>
  <c r="V110" i="83"/>
  <c r="V121" i="83" s="1"/>
  <c r="U110" i="83"/>
  <c r="U121" i="83" s="1"/>
  <c r="F110" i="83"/>
  <c r="F121" i="83" s="1"/>
  <c r="AL106" i="83"/>
  <c r="AH106" i="83"/>
  <c r="AD106" i="83"/>
  <c r="Z106" i="83"/>
  <c r="V106" i="83"/>
  <c r="F106" i="83"/>
  <c r="AL105" i="83"/>
  <c r="AH105" i="83"/>
  <c r="AD105" i="83"/>
  <c r="Z105" i="83"/>
  <c r="V105" i="83"/>
  <c r="F105" i="83"/>
  <c r="AH104" i="83"/>
  <c r="AD104" i="83"/>
  <c r="Z104" i="83"/>
  <c r="V104" i="83"/>
  <c r="F104" i="83"/>
  <c r="AL103" i="83"/>
  <c r="AH103" i="83"/>
  <c r="AD103" i="83"/>
  <c r="Z103" i="83"/>
  <c r="V103" i="83"/>
  <c r="F103" i="83"/>
  <c r="AL102" i="83"/>
  <c r="AH102" i="83"/>
  <c r="AD102" i="83"/>
  <c r="Z102" i="83"/>
  <c r="V102" i="83"/>
  <c r="F102" i="83"/>
  <c r="AL101" i="83"/>
  <c r="AH101" i="83"/>
  <c r="AD101" i="83"/>
  <c r="Z101" i="83"/>
  <c r="V101" i="83"/>
  <c r="F101" i="83"/>
  <c r="AL100" i="83"/>
  <c r="AH100" i="83"/>
  <c r="AD100" i="83"/>
  <c r="Z100" i="83"/>
  <c r="V100" i="83"/>
  <c r="F100" i="83"/>
  <c r="AH99" i="83"/>
  <c r="AD99" i="83"/>
  <c r="Z99" i="83"/>
  <c r="V99" i="83"/>
  <c r="F99" i="83"/>
  <c r="AL98" i="83"/>
  <c r="AH98" i="83"/>
  <c r="AD98" i="83"/>
  <c r="Z98" i="83"/>
  <c r="V98" i="83"/>
  <c r="F98" i="83"/>
  <c r="AL97" i="83"/>
  <c r="AH97" i="83"/>
  <c r="AD97" i="83"/>
  <c r="Z97" i="83"/>
  <c r="V97" i="83"/>
  <c r="F97" i="83"/>
  <c r="AL96" i="83"/>
  <c r="AH96" i="83"/>
  <c r="AD96" i="83"/>
  <c r="Z96" i="83"/>
  <c r="V96" i="83"/>
  <c r="F96" i="83"/>
  <c r="AL95" i="83"/>
  <c r="AH95" i="83"/>
  <c r="AD95" i="83"/>
  <c r="Z95" i="83"/>
  <c r="V95" i="83"/>
  <c r="F95" i="83"/>
  <c r="AL94" i="83"/>
  <c r="AH94" i="83"/>
  <c r="AD94" i="83"/>
  <c r="Z94" i="83"/>
  <c r="V94" i="83"/>
  <c r="F94" i="83"/>
  <c r="AL93" i="83"/>
  <c r="AH93" i="83"/>
  <c r="AD93" i="83"/>
  <c r="Z93" i="83"/>
  <c r="V93" i="83"/>
  <c r="F93" i="83"/>
  <c r="AL92" i="83"/>
  <c r="AH92" i="83"/>
  <c r="AD92" i="83"/>
  <c r="Z92" i="83"/>
  <c r="V92" i="83"/>
  <c r="F92" i="83"/>
  <c r="AL91" i="83"/>
  <c r="AH91" i="83"/>
  <c r="AD91" i="83"/>
  <c r="Z91" i="83"/>
  <c r="V91" i="83"/>
  <c r="F91" i="83"/>
  <c r="AL90" i="83"/>
  <c r="AH90" i="83"/>
  <c r="AD90" i="83"/>
  <c r="Z90" i="83"/>
  <c r="V90" i="83"/>
  <c r="F90" i="83"/>
  <c r="AL89" i="83"/>
  <c r="AH89" i="83"/>
  <c r="AD89" i="83"/>
  <c r="Z89" i="83"/>
  <c r="V89" i="83"/>
  <c r="F89" i="83"/>
  <c r="AL88" i="83"/>
  <c r="AH88" i="83"/>
  <c r="AD88" i="83"/>
  <c r="Z88" i="83"/>
  <c r="V88" i="83"/>
  <c r="F88" i="83"/>
  <c r="AL87" i="83"/>
  <c r="AH87" i="83"/>
  <c r="AD87" i="83"/>
  <c r="Z87" i="83"/>
  <c r="V87" i="83"/>
  <c r="F87" i="83"/>
  <c r="AL86" i="83"/>
  <c r="AH86" i="83"/>
  <c r="AD86" i="83"/>
  <c r="Z86" i="83"/>
  <c r="V86" i="83"/>
  <c r="F86" i="83"/>
  <c r="AL85" i="83"/>
  <c r="AH85" i="83"/>
  <c r="AD85" i="83"/>
  <c r="Z85" i="83"/>
  <c r="V85" i="83"/>
  <c r="F85" i="83"/>
  <c r="AL84" i="83"/>
  <c r="AH84" i="83"/>
  <c r="AD84" i="83"/>
  <c r="Z84" i="83"/>
  <c r="V84" i="83"/>
  <c r="F84" i="83"/>
  <c r="AL83" i="83"/>
  <c r="AH83" i="83"/>
  <c r="AD83" i="83"/>
  <c r="Z83" i="83"/>
  <c r="V83" i="83"/>
  <c r="F83" i="83"/>
  <c r="AL82" i="83"/>
  <c r="AH82" i="83"/>
  <c r="AD82" i="83"/>
  <c r="Z82" i="83"/>
  <c r="V82" i="83"/>
  <c r="F82" i="83"/>
  <c r="AL81" i="83"/>
  <c r="AH81" i="83"/>
  <c r="AD81" i="83"/>
  <c r="Z81" i="83"/>
  <c r="V81" i="83"/>
  <c r="F81" i="83"/>
  <c r="AH80" i="83"/>
  <c r="AD80" i="83"/>
  <c r="Z80" i="83"/>
  <c r="V80" i="83"/>
  <c r="F80" i="83"/>
  <c r="AL79" i="83"/>
  <c r="AH79" i="83"/>
  <c r="AD79" i="83"/>
  <c r="Z79" i="83"/>
  <c r="V79" i="83"/>
  <c r="F79" i="83"/>
  <c r="AL78" i="83"/>
  <c r="AH78" i="83"/>
  <c r="AD78" i="83"/>
  <c r="Z78" i="83"/>
  <c r="V78" i="83"/>
  <c r="F78" i="83"/>
  <c r="AH77" i="83"/>
  <c r="AD77" i="83"/>
  <c r="Z77" i="83"/>
  <c r="V77" i="83"/>
  <c r="F77" i="83"/>
  <c r="AL76" i="83"/>
  <c r="AH76" i="83"/>
  <c r="AD76" i="83"/>
  <c r="Z76" i="83"/>
  <c r="V76" i="83"/>
  <c r="F76" i="83"/>
  <c r="AH75" i="83"/>
  <c r="AD75" i="83"/>
  <c r="Z75" i="83"/>
  <c r="V75" i="83"/>
  <c r="F75" i="83"/>
  <c r="AL74" i="83"/>
  <c r="AH74" i="83"/>
  <c r="AD74" i="83"/>
  <c r="Z74" i="83"/>
  <c r="V74" i="83"/>
  <c r="F74" i="83"/>
  <c r="AL73" i="83"/>
  <c r="AH73" i="83"/>
  <c r="AD73" i="83"/>
  <c r="Z73" i="83"/>
  <c r="V73" i="83"/>
  <c r="F73" i="83"/>
  <c r="AH72" i="83"/>
  <c r="AD72" i="83"/>
  <c r="Z72" i="83"/>
  <c r="V72" i="83"/>
  <c r="F72" i="83"/>
  <c r="AL68" i="83"/>
  <c r="AK68" i="83"/>
  <c r="AH68" i="83"/>
  <c r="AD68" i="83"/>
  <c r="Z68" i="83"/>
  <c r="V68" i="83"/>
  <c r="U68" i="83"/>
  <c r="F68" i="83"/>
  <c r="AL67" i="83"/>
  <c r="AH67" i="83"/>
  <c r="AD67" i="83"/>
  <c r="Z67" i="83"/>
  <c r="V67" i="83"/>
  <c r="F67" i="83"/>
  <c r="AL66" i="83"/>
  <c r="AL69" i="83" s="1"/>
  <c r="AK67" i="83" s="1"/>
  <c r="AK66" i="83"/>
  <c r="AH66" i="83"/>
  <c r="AH69" i="83" s="1"/>
  <c r="AG68" i="83" s="1"/>
  <c r="AD66" i="83"/>
  <c r="AD69" i="83" s="1"/>
  <c r="AC68" i="83" s="1"/>
  <c r="Z66" i="83"/>
  <c r="Z69" i="83" s="1"/>
  <c r="Y68" i="83" s="1"/>
  <c r="V66" i="83"/>
  <c r="V69" i="83" s="1"/>
  <c r="U67" i="83" s="1"/>
  <c r="U66" i="83"/>
  <c r="F66" i="83"/>
  <c r="F69" i="83" s="1"/>
  <c r="E68" i="83" s="1"/>
  <c r="AL62" i="83"/>
  <c r="AH62" i="83"/>
  <c r="AG62" i="83"/>
  <c r="AD62" i="83"/>
  <c r="Z62" i="83"/>
  <c r="Y62" i="83"/>
  <c r="V62" i="83"/>
  <c r="F62" i="83"/>
  <c r="AL61" i="83"/>
  <c r="AH61" i="83"/>
  <c r="AD61" i="83"/>
  <c r="Z61" i="83"/>
  <c r="Y61" i="83"/>
  <c r="V61" i="83"/>
  <c r="F61" i="83"/>
  <c r="AL60" i="83"/>
  <c r="AH60" i="83"/>
  <c r="AD60" i="83"/>
  <c r="Z60" i="83"/>
  <c r="V60" i="83"/>
  <c r="F60" i="83"/>
  <c r="AL59" i="83"/>
  <c r="AH59" i="83"/>
  <c r="AD59" i="83"/>
  <c r="Z59" i="83"/>
  <c r="Y59" i="83"/>
  <c r="V59" i="83"/>
  <c r="F59" i="83"/>
  <c r="AL58" i="83"/>
  <c r="AH58" i="83"/>
  <c r="AG58" i="83"/>
  <c r="AD58" i="83"/>
  <c r="Z58" i="83"/>
  <c r="Y58" i="83"/>
  <c r="V58" i="83"/>
  <c r="F58" i="83"/>
  <c r="AL57" i="83"/>
  <c r="AH57" i="83"/>
  <c r="AD57" i="83"/>
  <c r="Z57" i="83"/>
  <c r="Y57" i="83"/>
  <c r="V57" i="83"/>
  <c r="F57" i="83"/>
  <c r="AL56" i="83"/>
  <c r="AH56" i="83"/>
  <c r="AD56" i="83"/>
  <c r="Z56" i="83"/>
  <c r="V56" i="83"/>
  <c r="F56" i="83"/>
  <c r="AL55" i="83"/>
  <c r="AL63" i="83" s="1"/>
  <c r="AK62" i="83" s="1"/>
  <c r="AH55" i="83"/>
  <c r="AH63" i="83" s="1"/>
  <c r="AG59" i="83" s="1"/>
  <c r="AD55" i="83"/>
  <c r="AD63" i="83" s="1"/>
  <c r="AC62" i="83" s="1"/>
  <c r="Z55" i="83"/>
  <c r="Z63" i="83" s="1"/>
  <c r="Y60" i="83" s="1"/>
  <c r="Y55" i="83"/>
  <c r="V55" i="83"/>
  <c r="V63" i="83" s="1"/>
  <c r="U62" i="83" s="1"/>
  <c r="F55" i="83"/>
  <c r="F63" i="83" s="1"/>
  <c r="E61" i="83" s="1"/>
  <c r="AL50" i="83"/>
  <c r="Y50" i="83"/>
  <c r="V50" i="83"/>
  <c r="AL49" i="83"/>
  <c r="AK49" i="83"/>
  <c r="AH49" i="83"/>
  <c r="AG49" i="83"/>
  <c r="AG50" i="83" s="1"/>
  <c r="AD49" i="83"/>
  <c r="AC49" i="83"/>
  <c r="Y49" i="83"/>
  <c r="W49" i="83"/>
  <c r="U49" i="83"/>
  <c r="F49" i="83"/>
  <c r="E49" i="83"/>
  <c r="AK48" i="83"/>
  <c r="AH48" i="83"/>
  <c r="AG48" i="83"/>
  <c r="AD48" i="83"/>
  <c r="AC48" i="83"/>
  <c r="Z48" i="83"/>
  <c r="Y48" i="83"/>
  <c r="V48" i="83"/>
  <c r="U48" i="83"/>
  <c r="F48" i="83"/>
  <c r="AL47" i="83"/>
  <c r="AK47" i="83"/>
  <c r="AH47" i="83"/>
  <c r="AG47" i="83"/>
  <c r="AD47" i="83"/>
  <c r="AC47" i="83"/>
  <c r="Y47" i="83"/>
  <c r="U47" i="83"/>
  <c r="F47" i="83"/>
  <c r="AL46" i="83"/>
  <c r="AK46" i="83"/>
  <c r="AH46" i="83"/>
  <c r="AG46" i="83"/>
  <c r="AD46" i="83"/>
  <c r="AC46" i="83"/>
  <c r="Z46" i="83"/>
  <c r="Y46" i="83"/>
  <c r="W46" i="83"/>
  <c r="V46" i="83"/>
  <c r="U46" i="83"/>
  <c r="F46" i="83"/>
  <c r="AL45" i="83"/>
  <c r="AK45" i="83"/>
  <c r="AH45" i="83"/>
  <c r="AG45" i="83"/>
  <c r="AD45" i="83"/>
  <c r="AC45" i="83"/>
  <c r="Z45" i="83"/>
  <c r="Y45" i="83"/>
  <c r="W45" i="83"/>
  <c r="V45" i="83"/>
  <c r="U45" i="83"/>
  <c r="F45" i="83"/>
  <c r="AL44" i="83"/>
  <c r="AK44" i="83"/>
  <c r="AH44" i="83"/>
  <c r="AG44" i="83"/>
  <c r="AD44" i="83"/>
  <c r="AC44" i="83"/>
  <c r="Z44" i="83"/>
  <c r="Y44" i="83"/>
  <c r="W44" i="83"/>
  <c r="V44" i="83"/>
  <c r="U44" i="83"/>
  <c r="F44" i="83"/>
  <c r="AQ41" i="83"/>
  <c r="AL40" i="83"/>
  <c r="AK40" i="83"/>
  <c r="AH40" i="83"/>
  <c r="AG40" i="83"/>
  <c r="AD40" i="83"/>
  <c r="AC40" i="83"/>
  <c r="Z40" i="83"/>
  <c r="Y40" i="83"/>
  <c r="V40" i="83"/>
  <c r="U40" i="83"/>
  <c r="AQ39" i="83"/>
  <c r="F39" i="83"/>
  <c r="E39" i="83"/>
  <c r="AQ38" i="83"/>
  <c r="F38" i="83"/>
  <c r="E38" i="83"/>
  <c r="E48" i="83" s="1"/>
  <c r="AQ37" i="83"/>
  <c r="F37" i="83"/>
  <c r="E37" i="83"/>
  <c r="E47" i="83" s="1"/>
  <c r="AQ36" i="83"/>
  <c r="F36" i="83"/>
  <c r="E36" i="83"/>
  <c r="E46" i="83" s="1"/>
  <c r="AQ35" i="83"/>
  <c r="W35" i="83"/>
  <c r="F35" i="83"/>
  <c r="E35" i="83"/>
  <c r="E45" i="83" s="1"/>
  <c r="AQ34" i="83"/>
  <c r="AQ40" i="83" s="1"/>
  <c r="F34" i="83"/>
  <c r="F40" i="83" s="1"/>
  <c r="E34" i="83"/>
  <c r="AO31" i="83"/>
  <c r="AK31" i="83"/>
  <c r="AG31" i="83"/>
  <c r="AC31" i="83"/>
  <c r="Y31" i="83"/>
  <c r="U31" i="83"/>
  <c r="E31" i="83"/>
  <c r="AG30" i="83"/>
  <c r="E30" i="83"/>
  <c r="AO29" i="83"/>
  <c r="AC29" i="83"/>
  <c r="Y29" i="83"/>
  <c r="AO28" i="83"/>
  <c r="AK28" i="83"/>
  <c r="AG28" i="83"/>
  <c r="AC28" i="83"/>
  <c r="Y28" i="83"/>
  <c r="U28" i="83"/>
  <c r="E28" i="83"/>
  <c r="AO27" i="83"/>
  <c r="AK27" i="83"/>
  <c r="AK29" i="83" s="1"/>
  <c r="AG27" i="83"/>
  <c r="AC27" i="83"/>
  <c r="Y27" i="83"/>
  <c r="U27" i="83"/>
  <c r="U29" i="83" s="1"/>
  <c r="E27" i="83"/>
  <c r="AO26" i="83"/>
  <c r="AK26" i="83"/>
  <c r="AG26" i="83"/>
  <c r="AG29" i="83" s="1"/>
  <c r="AC26" i="83"/>
  <c r="Y26" i="83"/>
  <c r="U26" i="83"/>
  <c r="E26" i="83"/>
  <c r="E29" i="83" s="1"/>
  <c r="AK23" i="83"/>
  <c r="AG23" i="83"/>
  <c r="AC23" i="83"/>
  <c r="Y23" i="83"/>
  <c r="U23" i="83"/>
  <c r="E23" i="83"/>
  <c r="A23" i="83" s="1"/>
  <c r="AO21" i="83"/>
  <c r="AK21" i="83"/>
  <c r="AG21" i="83"/>
  <c r="AC21" i="83"/>
  <c r="Y21" i="83"/>
  <c r="U21" i="83"/>
  <c r="E21" i="83"/>
  <c r="AO20" i="83"/>
  <c r="AK20" i="83"/>
  <c r="AG20" i="83"/>
  <c r="AC20" i="83"/>
  <c r="Y20" i="83"/>
  <c r="U20" i="83"/>
  <c r="E20" i="83"/>
  <c r="AO19" i="83"/>
  <c r="AK19" i="83"/>
  <c r="AK243" i="83" s="1"/>
  <c r="AG19" i="83"/>
  <c r="AG243" i="83" s="1"/>
  <c r="AC19" i="83"/>
  <c r="AC243" i="83" s="1"/>
  <c r="Y19" i="83"/>
  <c r="U19" i="83"/>
  <c r="E19" i="83"/>
  <c r="AO18" i="83"/>
  <c r="AK18" i="83"/>
  <c r="AG18" i="83"/>
  <c r="AC18" i="83"/>
  <c r="Y18" i="83"/>
  <c r="U18" i="83"/>
  <c r="E18" i="83"/>
  <c r="AK9" i="83"/>
  <c r="AG9" i="83"/>
  <c r="AC9" i="83"/>
  <c r="Y9" i="83"/>
  <c r="U9" i="83"/>
  <c r="E9" i="83"/>
  <c r="AK8" i="83"/>
  <c r="AG8" i="83"/>
  <c r="U8" i="83"/>
  <c r="E8" i="83"/>
  <c r="AK7" i="83"/>
  <c r="AG7" i="83"/>
  <c r="AC7" i="83"/>
  <c r="AC8" i="83" s="1"/>
  <c r="Y7" i="83"/>
  <c r="Y8" i="83" s="1"/>
  <c r="U7" i="83"/>
  <c r="E7" i="83"/>
  <c r="AO6" i="83"/>
  <c r="E6" i="83"/>
  <c r="E13" i="83" s="1"/>
  <c r="AM48" i="83" l="1"/>
  <c r="AM39" i="83"/>
  <c r="AM35" i="83"/>
  <c r="AM47" i="83"/>
  <c r="AM34" i="83"/>
  <c r="AM46" i="83"/>
  <c r="AM44" i="83"/>
  <c r="U69" i="83"/>
  <c r="AM38" i="83"/>
  <c r="AC50" i="83"/>
  <c r="AK50" i="83"/>
  <c r="AM49" i="83"/>
  <c r="AG56" i="83"/>
  <c r="E58" i="83"/>
  <c r="AG60" i="83"/>
  <c r="E62" i="83"/>
  <c r="AK69" i="83"/>
  <c r="E74" i="83"/>
  <c r="AK145" i="83"/>
  <c r="U147" i="83"/>
  <c r="AK149" i="83"/>
  <c r="Z166" i="83"/>
  <c r="AG188" i="83"/>
  <c r="AG187" i="83"/>
  <c r="AG186" i="83"/>
  <c r="AG185" i="83"/>
  <c r="AG184" i="83"/>
  <c r="AG183" i="83"/>
  <c r="AG189" i="83" s="1"/>
  <c r="AO13" i="83"/>
  <c r="AK6" i="83" s="1"/>
  <c r="F217" i="83"/>
  <c r="E243" i="83"/>
  <c r="AC30" i="83"/>
  <c r="AM36" i="83"/>
  <c r="AI46" i="83"/>
  <c r="E55" i="83"/>
  <c r="Y56" i="83"/>
  <c r="Y63" i="83" s="1"/>
  <c r="AG57" i="83"/>
  <c r="E59" i="83"/>
  <c r="AG61" i="83"/>
  <c r="AC66" i="83"/>
  <c r="AC69" i="83" s="1"/>
  <c r="AH107" i="83"/>
  <c r="AC79" i="83"/>
  <c r="AH166" i="83"/>
  <c r="AG151" i="83" s="1"/>
  <c r="AI48" i="83"/>
  <c r="E56" i="83"/>
  <c r="E60" i="83"/>
  <c r="AC67" i="83"/>
  <c r="Z107" i="83"/>
  <c r="Y73" i="83" s="1"/>
  <c r="U133" i="83"/>
  <c r="U132" i="83"/>
  <c r="U131" i="83"/>
  <c r="U130" i="83"/>
  <c r="U129" i="83"/>
  <c r="U128" i="83"/>
  <c r="U127" i="83"/>
  <c r="U126" i="83"/>
  <c r="U125" i="83"/>
  <c r="U124" i="83"/>
  <c r="U134" i="83" s="1"/>
  <c r="E176" i="83"/>
  <c r="E171" i="83"/>
  <c r="E179" i="83"/>
  <c r="E172" i="83"/>
  <c r="V241" i="83"/>
  <c r="AO30" i="83"/>
  <c r="AM37" i="83"/>
  <c r="AH50" i="83"/>
  <c r="AM45" i="83"/>
  <c r="AM51" i="83" s="1"/>
  <c r="AG55" i="83"/>
  <c r="E57" i="83"/>
  <c r="F107" i="83"/>
  <c r="E79" i="83" s="1"/>
  <c r="AL107" i="83"/>
  <c r="AK73" i="83"/>
  <c r="AC74" i="83"/>
  <c r="E120" i="83"/>
  <c r="E119" i="83"/>
  <c r="E118" i="83"/>
  <c r="E117" i="83"/>
  <c r="E116" i="83"/>
  <c r="E115" i="83"/>
  <c r="E114" i="83"/>
  <c r="E113" i="83"/>
  <c r="E112" i="83"/>
  <c r="E111" i="83"/>
  <c r="E110" i="83"/>
  <c r="AC121" i="83"/>
  <c r="Y134" i="83"/>
  <c r="Y144" i="83"/>
  <c r="AG145" i="83"/>
  <c r="Y148" i="83"/>
  <c r="Y152" i="83"/>
  <c r="Y169" i="83"/>
  <c r="Z180" i="83"/>
  <c r="E170" i="83"/>
  <c r="Y243" i="83"/>
  <c r="Z217" i="83"/>
  <c r="Y30" i="83"/>
  <c r="E40" i="83"/>
  <c r="E44" i="83"/>
  <c r="E50" i="83" s="1"/>
  <c r="U50" i="83"/>
  <c r="Z50" i="83"/>
  <c r="AA48" i="83" s="1"/>
  <c r="AA44" i="83"/>
  <c r="AA46" i="83"/>
  <c r="G48" i="83"/>
  <c r="W47" i="83"/>
  <c r="W52" i="83" s="1"/>
  <c r="W39" i="83"/>
  <c r="V107" i="83"/>
  <c r="U101" i="83" s="1"/>
  <c r="AD107" i="83"/>
  <c r="E73" i="83"/>
  <c r="AG73" i="83"/>
  <c r="Y74" i="83"/>
  <c r="AG75" i="83"/>
  <c r="E78" i="83"/>
  <c r="AG78" i="83"/>
  <c r="E80" i="83"/>
  <c r="AG80" i="83"/>
  <c r="U100" i="83"/>
  <c r="AK100" i="83"/>
  <c r="AC101" i="83"/>
  <c r="AK102" i="83"/>
  <c r="AC103" i="83"/>
  <c r="Y120" i="83"/>
  <c r="Y119" i="83"/>
  <c r="Y118" i="83"/>
  <c r="Y117" i="83"/>
  <c r="Y116" i="83"/>
  <c r="Y115" i="83"/>
  <c r="Y114" i="83"/>
  <c r="Y113" i="83"/>
  <c r="Y112" i="83"/>
  <c r="Y111" i="83"/>
  <c r="Y110" i="83"/>
  <c r="AC133" i="83"/>
  <c r="AC132" i="83"/>
  <c r="AC131" i="83"/>
  <c r="AC130" i="83"/>
  <c r="AC129" i="83"/>
  <c r="AC128" i="83"/>
  <c r="AC127" i="83"/>
  <c r="AC126" i="83"/>
  <c r="AC125" i="83"/>
  <c r="AC124" i="83"/>
  <c r="F166" i="83"/>
  <c r="E149" i="83" s="1"/>
  <c r="Y142" i="83"/>
  <c r="AK158" i="83"/>
  <c r="U164" i="83"/>
  <c r="Y171" i="83"/>
  <c r="AK205" i="83"/>
  <c r="AK206" i="83"/>
  <c r="AD219" i="83"/>
  <c r="AC217" i="83" s="1"/>
  <c r="AK151" i="83"/>
  <c r="AK160" i="83"/>
  <c r="AK172" i="83"/>
  <c r="E174" i="83"/>
  <c r="U243" i="83"/>
  <c r="V217" i="83"/>
  <c r="U30" i="83"/>
  <c r="AK30" i="83"/>
  <c r="W34" i="83"/>
  <c r="W36" i="83"/>
  <c r="W41" i="83" s="1"/>
  <c r="W37" i="83"/>
  <c r="W38" i="83"/>
  <c r="F50" i="83"/>
  <c r="G46" i="83"/>
  <c r="W48" i="83"/>
  <c r="AD50" i="83"/>
  <c r="U55" i="83"/>
  <c r="AC55" i="83"/>
  <c r="AK55" i="83"/>
  <c r="U56" i="83"/>
  <c r="AC56" i="83"/>
  <c r="AK56" i="83"/>
  <c r="U57" i="83"/>
  <c r="AC57" i="83"/>
  <c r="AK57" i="83"/>
  <c r="U58" i="83"/>
  <c r="AC58" i="83"/>
  <c r="AK58" i="83"/>
  <c r="U59" i="83"/>
  <c r="AC59" i="83"/>
  <c r="AK59" i="83"/>
  <c r="U60" i="83"/>
  <c r="AC60" i="83"/>
  <c r="AK60" i="83"/>
  <c r="U61" i="83"/>
  <c r="AC61" i="83"/>
  <c r="AK61" i="83"/>
  <c r="E66" i="83"/>
  <c r="E69" i="83" s="1"/>
  <c r="Y66" i="83"/>
  <c r="AG66" i="83"/>
  <c r="AG69" i="83" s="1"/>
  <c r="E67" i="83"/>
  <c r="Y67" i="83"/>
  <c r="AG67" i="83"/>
  <c r="AC73" i="83"/>
  <c r="AK74" i="83"/>
  <c r="AC75" i="83"/>
  <c r="AC78" i="83"/>
  <c r="AK79" i="83"/>
  <c r="AC80" i="83"/>
  <c r="E100" i="83"/>
  <c r="AG100" i="83"/>
  <c r="Y101" i="83"/>
  <c r="E102" i="83"/>
  <c r="AG102" i="83"/>
  <c r="E104" i="83"/>
  <c r="AG104" i="83"/>
  <c r="AG120" i="83"/>
  <c r="AG119" i="83"/>
  <c r="AG118" i="83"/>
  <c r="AG117" i="83"/>
  <c r="AG116" i="83"/>
  <c r="AG115" i="83"/>
  <c r="AG114" i="83"/>
  <c r="AG113" i="83"/>
  <c r="AG112" i="83"/>
  <c r="AG111" i="83"/>
  <c r="AG110" i="83"/>
  <c r="AG121" i="83" s="1"/>
  <c r="AK133" i="83"/>
  <c r="AK132" i="83"/>
  <c r="AK131" i="83"/>
  <c r="AK130" i="83"/>
  <c r="AK129" i="83"/>
  <c r="AK128" i="83"/>
  <c r="AK127" i="83"/>
  <c r="AK126" i="83"/>
  <c r="AK125" i="83"/>
  <c r="AK124" i="83"/>
  <c r="Y140" i="83"/>
  <c r="AG155" i="83"/>
  <c r="E161" i="83"/>
  <c r="Y172" i="83"/>
  <c r="AK175" i="83"/>
  <c r="E177" i="83"/>
  <c r="AC100" i="83"/>
  <c r="AK101" i="83"/>
  <c r="AC102" i="83"/>
  <c r="U103" i="83"/>
  <c r="AK103" i="83"/>
  <c r="AC104" i="83"/>
  <c r="U140" i="83"/>
  <c r="U144" i="83"/>
  <c r="AL166" i="83"/>
  <c r="AK150" i="83" s="1"/>
  <c r="AK144" i="83"/>
  <c r="U146" i="83"/>
  <c r="AK146" i="83"/>
  <c r="AK148" i="83"/>
  <c r="U150" i="83"/>
  <c r="Y154" i="83"/>
  <c r="AG159" i="83"/>
  <c r="Y162" i="83"/>
  <c r="AK162" i="83"/>
  <c r="E169" i="83"/>
  <c r="E180" i="83" s="1"/>
  <c r="U172" i="83"/>
  <c r="E175" i="83"/>
  <c r="AH180" i="83"/>
  <c r="AG169" i="83" s="1"/>
  <c r="E101" i="83"/>
  <c r="AG101" i="83"/>
  <c r="Y102" i="83"/>
  <c r="E103" i="83"/>
  <c r="AG103" i="83"/>
  <c r="E138" i="83"/>
  <c r="E140" i="83"/>
  <c r="E142" i="83"/>
  <c r="E144" i="83"/>
  <c r="Y145" i="83"/>
  <c r="AG146" i="83"/>
  <c r="E148" i="83"/>
  <c r="Y149" i="83"/>
  <c r="AG150" i="83"/>
  <c r="E152" i="83"/>
  <c r="U154" i="83"/>
  <c r="AK156" i="83"/>
  <c r="U162" i="83"/>
  <c r="U173" i="83"/>
  <c r="Y174" i="83"/>
  <c r="AK174" i="83"/>
  <c r="U178" i="83"/>
  <c r="Y179" i="83"/>
  <c r="F202" i="83"/>
  <c r="E198" i="83" s="1"/>
  <c r="AK193" i="83"/>
  <c r="E195" i="83"/>
  <c r="AK155" i="83"/>
  <c r="U157" i="83"/>
  <c r="AK159" i="83"/>
  <c r="E173" i="83"/>
  <c r="AC173" i="83"/>
  <c r="AK176" i="83"/>
  <c r="Y178" i="83"/>
  <c r="AK178" i="83"/>
  <c r="AL202" i="83"/>
  <c r="AK192" i="83"/>
  <c r="AK202" i="83" s="1"/>
  <c r="Y198" i="83"/>
  <c r="Y208" i="83"/>
  <c r="AD214" i="83"/>
  <c r="AC211" i="83" s="1"/>
  <c r="U212" i="83"/>
  <c r="AK212" i="83"/>
  <c r="AL214" i="83"/>
  <c r="AC213" i="83"/>
  <c r="U222" i="83"/>
  <c r="AK222" i="83"/>
  <c r="AL228" i="83"/>
  <c r="AK226" i="83" s="1"/>
  <c r="U224" i="83"/>
  <c r="AK224" i="83"/>
  <c r="U226" i="83"/>
  <c r="V166" i="83"/>
  <c r="U149" i="83" s="1"/>
  <c r="AD166" i="83"/>
  <c r="AK153" i="83"/>
  <c r="U155" i="83"/>
  <c r="AK157" i="83"/>
  <c r="U159" i="83"/>
  <c r="AK161" i="83"/>
  <c r="AK171" i="83"/>
  <c r="U176" i="83"/>
  <c r="U177" i="83"/>
  <c r="AD202" i="83"/>
  <c r="U193" i="83"/>
  <c r="AG193" i="83"/>
  <c r="AK196" i="83"/>
  <c r="AK199" i="83"/>
  <c r="AK200" i="83"/>
  <c r="AC201" i="83"/>
  <c r="AK195" i="83"/>
  <c r="Y196" i="83"/>
  <c r="AG200" i="83"/>
  <c r="AG208" i="83"/>
  <c r="Z214" i="83"/>
  <c r="Y211" i="83" s="1"/>
  <c r="AG212" i="83"/>
  <c r="F214" i="83"/>
  <c r="E212" i="83" s="1"/>
  <c r="AG218" i="83"/>
  <c r="AG222" i="83"/>
  <c r="AG224" i="83"/>
  <c r="Y225" i="83"/>
  <c r="AG226" i="83"/>
  <c r="F228" i="83"/>
  <c r="E222" i="83" s="1"/>
  <c r="V180" i="83"/>
  <c r="AD180" i="83"/>
  <c r="AC169" i="83" s="1"/>
  <c r="AL180" i="83"/>
  <c r="AK177" i="83" s="1"/>
  <c r="U171" i="83"/>
  <c r="AK173" i="83"/>
  <c r="U175" i="83"/>
  <c r="AC176" i="83"/>
  <c r="U179" i="83"/>
  <c r="Z202" i="83"/>
  <c r="Y200" i="83" s="1"/>
  <c r="Y192" i="83"/>
  <c r="U197" i="83"/>
  <c r="AG197" i="83"/>
  <c r="AC208" i="83"/>
  <c r="Z241" i="83"/>
  <c r="Y231" i="83"/>
  <c r="V202" i="83"/>
  <c r="AH202" i="83"/>
  <c r="AG194" i="83" s="1"/>
  <c r="E194" i="83"/>
  <c r="AG196" i="83"/>
  <c r="Y199" i="83"/>
  <c r="U201" i="83"/>
  <c r="U211" i="83"/>
  <c r="AK211" i="83"/>
  <c r="AK214" i="83" s="1"/>
  <c r="U213" i="83"/>
  <c r="AK213" i="83"/>
  <c r="AK217" i="83"/>
  <c r="AL219" i="83"/>
  <c r="AK218" i="83" s="1"/>
  <c r="U223" i="83"/>
  <c r="AK223" i="83"/>
  <c r="U225" i="83"/>
  <c r="AK225" i="83"/>
  <c r="U227" i="83"/>
  <c r="AK227" i="83"/>
  <c r="AD228" i="83"/>
  <c r="AC225" i="83" s="1"/>
  <c r="AH241" i="83"/>
  <c r="AG231" i="83"/>
  <c r="E201" i="83"/>
  <c r="AG211" i="83"/>
  <c r="Y212" i="83"/>
  <c r="AG213" i="83"/>
  <c r="AG217" i="83"/>
  <c r="AH219" i="83"/>
  <c r="Y222" i="83"/>
  <c r="AG223" i="83"/>
  <c r="AG225" i="83"/>
  <c r="Y226" i="83"/>
  <c r="AG227" i="83"/>
  <c r="Z228" i="83"/>
  <c r="Y227" i="83" s="1"/>
  <c r="AC231" i="83"/>
  <c r="AD241" i="83"/>
  <c r="AK232" i="83"/>
  <c r="AK233" i="83"/>
  <c r="AK234" i="83"/>
  <c r="AK235" i="83"/>
  <c r="AK236" i="83"/>
  <c r="AK237" i="83"/>
  <c r="AK238" i="83"/>
  <c r="AK239" i="83"/>
  <c r="AK240" i="83"/>
  <c r="AC219" i="83" l="1"/>
  <c r="AK219" i="83"/>
  <c r="AC143" i="83"/>
  <c r="AC137" i="83"/>
  <c r="AC139" i="83"/>
  <c r="AC141" i="83"/>
  <c r="AC223" i="83"/>
  <c r="AK241" i="83"/>
  <c r="E225" i="83"/>
  <c r="E211" i="83"/>
  <c r="E214" i="83" s="1"/>
  <c r="AC224" i="83"/>
  <c r="AG195" i="83"/>
  <c r="E224" i="83"/>
  <c r="AC197" i="83"/>
  <c r="AC193" i="83"/>
  <c r="AC199" i="83"/>
  <c r="AC195" i="83"/>
  <c r="AC192" i="83"/>
  <c r="AC202" i="83" s="1"/>
  <c r="AC196" i="83"/>
  <c r="AG175" i="83"/>
  <c r="AC164" i="83"/>
  <c r="AC227" i="83"/>
  <c r="AK228" i="83"/>
  <c r="AC171" i="83"/>
  <c r="AC180" i="83" s="1"/>
  <c r="AC154" i="83"/>
  <c r="AC159" i="83"/>
  <c r="E200" i="83"/>
  <c r="AC175" i="83"/>
  <c r="AC170" i="83"/>
  <c r="E157" i="83"/>
  <c r="AC151" i="83"/>
  <c r="AK134" i="83"/>
  <c r="AE39" i="83"/>
  <c r="AE37" i="83"/>
  <c r="AE46" i="83"/>
  <c r="AE44" i="83"/>
  <c r="AE50" i="83" s="1"/>
  <c r="AE48" i="83"/>
  <c r="AE38" i="83"/>
  <c r="AE47" i="83"/>
  <c r="AE34" i="83"/>
  <c r="AE36" i="83"/>
  <c r="AE35" i="83"/>
  <c r="AE41" i="83" s="1"/>
  <c r="AE45" i="83"/>
  <c r="G37" i="83"/>
  <c r="G39" i="83"/>
  <c r="G34" i="83"/>
  <c r="G49" i="83"/>
  <c r="U217" i="83"/>
  <c r="U219" i="83" s="1"/>
  <c r="V219" i="83"/>
  <c r="U218" i="83" s="1"/>
  <c r="E196" i="83"/>
  <c r="AG179" i="83"/>
  <c r="U104" i="83"/>
  <c r="AG149" i="83"/>
  <c r="E147" i="83"/>
  <c r="AI38" i="83"/>
  <c r="AI36" i="83"/>
  <c r="AI49" i="83"/>
  <c r="AI39" i="83"/>
  <c r="AI35" i="83"/>
  <c r="AI34" i="83"/>
  <c r="AI37" i="83"/>
  <c r="E197" i="83"/>
  <c r="Y80" i="83"/>
  <c r="E163" i="83"/>
  <c r="F219" i="83"/>
  <c r="E218" i="83" s="1"/>
  <c r="Y163" i="83"/>
  <c r="Y155" i="83"/>
  <c r="Y161" i="83"/>
  <c r="Y153" i="83"/>
  <c r="Y143" i="83"/>
  <c r="Y141" i="83"/>
  <c r="Y139" i="83"/>
  <c r="Y137" i="83"/>
  <c r="Y159" i="83"/>
  <c r="Y157" i="83"/>
  <c r="AC144" i="83"/>
  <c r="Y78" i="83"/>
  <c r="AM40" i="83"/>
  <c r="AC240" i="83"/>
  <c r="AC239" i="83"/>
  <c r="AC238" i="83"/>
  <c r="AC237" i="83"/>
  <c r="AC236" i="83"/>
  <c r="AC235" i="83"/>
  <c r="AC234" i="83"/>
  <c r="AC241" i="83" s="1"/>
  <c r="AC233" i="83"/>
  <c r="AC232" i="83"/>
  <c r="E227" i="83"/>
  <c r="Y224" i="83"/>
  <c r="E213" i="83"/>
  <c r="AG201" i="83"/>
  <c r="AG239" i="83"/>
  <c r="AG235" i="83"/>
  <c r="AG240" i="83"/>
  <c r="AG236" i="83"/>
  <c r="AG232" i="83"/>
  <c r="AG241" i="83" s="1"/>
  <c r="AG238" i="83"/>
  <c r="AG237" i="83"/>
  <c r="AG234" i="83"/>
  <c r="AG233" i="83"/>
  <c r="AC226" i="83"/>
  <c r="AC218" i="83"/>
  <c r="AC212" i="83"/>
  <c r="AC214" i="83" s="1"/>
  <c r="AC200" i="83"/>
  <c r="Y195" i="83"/>
  <c r="U200" i="83"/>
  <c r="U199" i="83"/>
  <c r="U192" i="83"/>
  <c r="U196" i="83"/>
  <c r="U195" i="83"/>
  <c r="U194" i="83"/>
  <c r="AG198" i="83"/>
  <c r="Y193" i="83"/>
  <c r="Y202" i="83" s="1"/>
  <c r="AC172" i="83"/>
  <c r="U170" i="83"/>
  <c r="U169" i="83"/>
  <c r="E226" i="83"/>
  <c r="Y223" i="83"/>
  <c r="Y228" i="83" s="1"/>
  <c r="Y201" i="83"/>
  <c r="AC179" i="83"/>
  <c r="U174" i="83"/>
  <c r="U163" i="83"/>
  <c r="AC152" i="83"/>
  <c r="U228" i="83"/>
  <c r="E199" i="83"/>
  <c r="AK201" i="83"/>
  <c r="AK194" i="83"/>
  <c r="AK198" i="83"/>
  <c r="AC174" i="83"/>
  <c r="AK163" i="83"/>
  <c r="AC158" i="83"/>
  <c r="U153" i="83"/>
  <c r="E192" i="83"/>
  <c r="E202" i="83" s="1"/>
  <c r="AG177" i="83"/>
  <c r="Y164" i="83"/>
  <c r="E159" i="83"/>
  <c r="AG153" i="83"/>
  <c r="E150" i="83"/>
  <c r="Y147" i="83"/>
  <c r="AG144" i="83"/>
  <c r="AG140" i="83"/>
  <c r="Y104" i="83"/>
  <c r="U198" i="83"/>
  <c r="U160" i="83"/>
  <c r="AK154" i="83"/>
  <c r="U148" i="83"/>
  <c r="AC145" i="83"/>
  <c r="U142" i="83"/>
  <c r="E155" i="83"/>
  <c r="Y69" i="83"/>
  <c r="AK63" i="83"/>
  <c r="G44" i="83"/>
  <c r="W40" i="83"/>
  <c r="E193" i="83"/>
  <c r="AC161" i="83"/>
  <c r="U151" i="83"/>
  <c r="U158" i="83"/>
  <c r="AC140" i="83"/>
  <c r="Y121" i="83"/>
  <c r="Y79" i="83"/>
  <c r="E75" i="83"/>
  <c r="AC106" i="83"/>
  <c r="AC105" i="83"/>
  <c r="AC99" i="83"/>
  <c r="AC98" i="83"/>
  <c r="AC97" i="83"/>
  <c r="AC96" i="83"/>
  <c r="AC95" i="83"/>
  <c r="AC94" i="83"/>
  <c r="AC93" i="83"/>
  <c r="AC92" i="83"/>
  <c r="AC91" i="83"/>
  <c r="AC90" i="83"/>
  <c r="AC89" i="83"/>
  <c r="AC88" i="83"/>
  <c r="AC87" i="83"/>
  <c r="AC86" i="83"/>
  <c r="AC85" i="83"/>
  <c r="AC84" i="83"/>
  <c r="AC83" i="83"/>
  <c r="AC82" i="83"/>
  <c r="AC81" i="83"/>
  <c r="AC77" i="83"/>
  <c r="AC76" i="83"/>
  <c r="AC72" i="83"/>
  <c r="AC107" i="83" s="1"/>
  <c r="AE49" i="83"/>
  <c r="W51" i="83"/>
  <c r="Z219" i="83"/>
  <c r="Y218" i="83" s="1"/>
  <c r="Y173" i="83"/>
  <c r="Y170" i="83"/>
  <c r="Y177" i="83"/>
  <c r="Y175" i="83"/>
  <c r="Y180" i="83" s="1"/>
  <c r="Y176" i="83"/>
  <c r="Y146" i="83"/>
  <c r="AK104" i="83"/>
  <c r="AK75" i="83"/>
  <c r="AK80" i="83"/>
  <c r="AK106" i="83"/>
  <c r="AK105" i="83"/>
  <c r="AK99" i="83"/>
  <c r="AK98" i="83"/>
  <c r="AK97" i="83"/>
  <c r="AK96" i="83"/>
  <c r="AK95" i="83"/>
  <c r="AK94" i="83"/>
  <c r="AK93" i="83"/>
  <c r="AK92" i="83"/>
  <c r="AK91" i="83"/>
  <c r="AK90" i="83"/>
  <c r="AK89" i="83"/>
  <c r="AK88" i="83"/>
  <c r="AK87" i="83"/>
  <c r="AK86" i="83"/>
  <c r="AK85" i="83"/>
  <c r="AK84" i="83"/>
  <c r="AK83" i="83"/>
  <c r="AK82" i="83"/>
  <c r="AK81" i="83"/>
  <c r="AK77" i="83"/>
  <c r="AK76" i="83"/>
  <c r="AK72" i="83"/>
  <c r="AG63" i="83"/>
  <c r="AI44" i="83"/>
  <c r="AC178" i="83"/>
  <c r="AC142" i="83"/>
  <c r="AK78" i="83"/>
  <c r="E63" i="83"/>
  <c r="G35" i="83"/>
  <c r="AL8" i="83"/>
  <c r="AK13" i="83"/>
  <c r="AG6" i="83" s="1"/>
  <c r="AG13" i="83" s="1"/>
  <c r="AC6" i="83" s="1"/>
  <c r="Y158" i="83"/>
  <c r="AC146" i="83"/>
  <c r="Y138" i="83"/>
  <c r="G47" i="83"/>
  <c r="G52" i="83" s="1"/>
  <c r="AM52" i="83"/>
  <c r="AG228" i="83"/>
  <c r="AC156" i="83"/>
  <c r="AC162" i="83"/>
  <c r="AG178" i="83"/>
  <c r="AG170" i="83"/>
  <c r="AG180" i="83" s="1"/>
  <c r="AG172" i="83"/>
  <c r="AG173" i="83"/>
  <c r="AG174" i="83"/>
  <c r="AC147" i="83"/>
  <c r="AC63" i="83"/>
  <c r="AC198" i="83"/>
  <c r="AC177" i="83"/>
  <c r="AC153" i="83"/>
  <c r="E158" i="83"/>
  <c r="E164" i="83"/>
  <c r="E156" i="83"/>
  <c r="E143" i="83"/>
  <c r="E141" i="83"/>
  <c r="E139" i="83"/>
  <c r="E137" i="83"/>
  <c r="E154" i="83"/>
  <c r="E160" i="83"/>
  <c r="E162" i="83"/>
  <c r="U106" i="83"/>
  <c r="U105" i="83"/>
  <c r="U99" i="83"/>
  <c r="U98" i="83"/>
  <c r="U97" i="83"/>
  <c r="U96" i="83"/>
  <c r="U95" i="83"/>
  <c r="U94" i="83"/>
  <c r="U93" i="83"/>
  <c r="U92" i="83"/>
  <c r="U91" i="83"/>
  <c r="U90" i="83"/>
  <c r="U89" i="83"/>
  <c r="U88" i="83"/>
  <c r="U87" i="83"/>
  <c r="U86" i="83"/>
  <c r="U85" i="83"/>
  <c r="U84" i="83"/>
  <c r="U83" i="83"/>
  <c r="U82" i="83"/>
  <c r="U81" i="83"/>
  <c r="U77" i="83"/>
  <c r="U76" i="83"/>
  <c r="U72" i="83"/>
  <c r="E151" i="83"/>
  <c r="U75" i="83"/>
  <c r="U73" i="83"/>
  <c r="U240" i="83"/>
  <c r="U239" i="83"/>
  <c r="U238" i="83"/>
  <c r="U237" i="83"/>
  <c r="U236" i="83"/>
  <c r="U235" i="83"/>
  <c r="U234" i="83"/>
  <c r="U233" i="83"/>
  <c r="U232" i="83"/>
  <c r="Y105" i="83"/>
  <c r="Y96" i="83"/>
  <c r="Y92" i="83"/>
  <c r="Y106" i="83"/>
  <c r="Y97" i="83"/>
  <c r="Y93" i="83"/>
  <c r="Y89" i="83"/>
  <c r="Y98" i="83"/>
  <c r="Y90" i="83"/>
  <c r="Y88" i="83"/>
  <c r="Y84" i="83"/>
  <c r="Y77" i="83"/>
  <c r="Y76" i="83"/>
  <c r="Y94" i="83"/>
  <c r="Y86" i="83"/>
  <c r="Y82" i="83"/>
  <c r="Y72" i="83"/>
  <c r="Y95" i="83"/>
  <c r="Y85" i="83"/>
  <c r="Y81" i="83"/>
  <c r="Y99" i="83"/>
  <c r="Y91" i="83"/>
  <c r="Y87" i="83"/>
  <c r="Y83" i="83"/>
  <c r="AG160" i="83"/>
  <c r="AG152" i="83"/>
  <c r="AG158" i="83"/>
  <c r="AG143" i="83"/>
  <c r="AG141" i="83"/>
  <c r="AG139" i="83"/>
  <c r="AG137" i="83"/>
  <c r="AG164" i="83"/>
  <c r="AG162" i="83"/>
  <c r="AG154" i="83"/>
  <c r="AG156" i="83"/>
  <c r="U78" i="83"/>
  <c r="AG157" i="83"/>
  <c r="AC148" i="83"/>
  <c r="Y75" i="83"/>
  <c r="AC155" i="83"/>
  <c r="AM50" i="83"/>
  <c r="AM41" i="83"/>
  <c r="G45" i="83"/>
  <c r="E223" i="83"/>
  <c r="E228" i="83" s="1"/>
  <c r="AG219" i="83"/>
  <c r="AG214" i="83"/>
  <c r="AG199" i="83"/>
  <c r="AC222" i="83"/>
  <c r="U214" i="83"/>
  <c r="AG192" i="83"/>
  <c r="AG202" i="83" s="1"/>
  <c r="Y238" i="83"/>
  <c r="Y234" i="83"/>
  <c r="Y239" i="83"/>
  <c r="Y235" i="83"/>
  <c r="Y240" i="83"/>
  <c r="Y237" i="83"/>
  <c r="Y236" i="83"/>
  <c r="Y233" i="83"/>
  <c r="Y241" i="83" s="1"/>
  <c r="Y232" i="83"/>
  <c r="AK179" i="83"/>
  <c r="AK169" i="83"/>
  <c r="Y213" i="83"/>
  <c r="Y214" i="83" s="1"/>
  <c r="Y197" i="83"/>
  <c r="AK170" i="83"/>
  <c r="AC160" i="83"/>
  <c r="U141" i="83"/>
  <c r="U143" i="83"/>
  <c r="U137" i="83"/>
  <c r="U139" i="83"/>
  <c r="AC194" i="83"/>
  <c r="U161" i="83"/>
  <c r="Y194" i="83"/>
  <c r="AG161" i="83"/>
  <c r="Y156" i="83"/>
  <c r="Y151" i="83"/>
  <c r="AG148" i="83"/>
  <c r="E146" i="83"/>
  <c r="AG142" i="83"/>
  <c r="AG138" i="83"/>
  <c r="Y100" i="83"/>
  <c r="AG176" i="83"/>
  <c r="AG171" i="83"/>
  <c r="AC157" i="83"/>
  <c r="U152" i="83"/>
  <c r="AC149" i="83"/>
  <c r="AK164" i="83"/>
  <c r="AK140" i="83"/>
  <c r="AK142" i="83"/>
  <c r="AK138" i="83"/>
  <c r="AK137" i="83"/>
  <c r="AK139" i="83"/>
  <c r="AK141" i="83"/>
  <c r="AK143" i="83"/>
  <c r="U138" i="83"/>
  <c r="Y160" i="83"/>
  <c r="AC138" i="83"/>
  <c r="Y103" i="83"/>
  <c r="U79" i="83"/>
  <c r="U74" i="83"/>
  <c r="U63" i="83"/>
  <c r="AI45" i="83"/>
  <c r="AK197" i="83"/>
  <c r="U156" i="83"/>
  <c r="AK208" i="83"/>
  <c r="AC163" i="83"/>
  <c r="AK152" i="83"/>
  <c r="AC134" i="83"/>
  <c r="U102" i="83"/>
  <c r="AI47" i="83"/>
  <c r="AI52" i="83" s="1"/>
  <c r="AA47" i="83"/>
  <c r="AA52" i="83" s="1"/>
  <c r="AA38" i="83"/>
  <c r="AA37" i="83"/>
  <c r="AA36" i="83"/>
  <c r="AA34" i="83"/>
  <c r="AA40" i="83" s="1"/>
  <c r="AA35" i="83"/>
  <c r="AA49" i="83"/>
  <c r="AA39" i="83"/>
  <c r="E153" i="83"/>
  <c r="Y150" i="83"/>
  <c r="AG147" i="83"/>
  <c r="E145" i="83"/>
  <c r="E121" i="83"/>
  <c r="E99" i="83"/>
  <c r="E95" i="83"/>
  <c r="E91" i="83"/>
  <c r="E105" i="83"/>
  <c r="E96" i="83"/>
  <c r="E92" i="83"/>
  <c r="E106" i="83"/>
  <c r="E93" i="83"/>
  <c r="E87" i="83"/>
  <c r="E83" i="83"/>
  <c r="E76" i="83"/>
  <c r="E94" i="83"/>
  <c r="E82" i="83"/>
  <c r="E72" i="83"/>
  <c r="E97" i="83"/>
  <c r="E89" i="83"/>
  <c r="E85" i="83"/>
  <c r="E81" i="83"/>
  <c r="E98" i="83"/>
  <c r="E90" i="83"/>
  <c r="E88" i="83"/>
  <c r="E84" i="83"/>
  <c r="E77" i="83"/>
  <c r="E86" i="83"/>
  <c r="AA45" i="83"/>
  <c r="G36" i="83"/>
  <c r="U231" i="83"/>
  <c r="AG163" i="83"/>
  <c r="U80" i="83"/>
  <c r="AG106" i="83"/>
  <c r="AG97" i="83"/>
  <c r="AG93" i="83"/>
  <c r="AG89" i="83"/>
  <c r="AG98" i="83"/>
  <c r="AG94" i="83"/>
  <c r="AG90" i="83"/>
  <c r="AG95" i="83"/>
  <c r="AG85" i="83"/>
  <c r="AG81" i="83"/>
  <c r="AG88" i="83"/>
  <c r="AG84" i="83"/>
  <c r="AG77" i="83"/>
  <c r="AG99" i="83"/>
  <c r="AG91" i="83"/>
  <c r="AG87" i="83"/>
  <c r="AG83" i="83"/>
  <c r="AG76" i="83"/>
  <c r="AG105" i="83"/>
  <c r="AG92" i="83"/>
  <c r="AG86" i="83"/>
  <c r="AG82" i="83"/>
  <c r="AG72" i="83"/>
  <c r="AG107" i="83" s="1"/>
  <c r="AG96" i="83"/>
  <c r="W50" i="83"/>
  <c r="AC150" i="83"/>
  <c r="AK147" i="83"/>
  <c r="U145" i="83"/>
  <c r="AG74" i="83"/>
  <c r="AG79" i="83"/>
  <c r="G38" i="83"/>
  <c r="AK166" i="83" l="1"/>
  <c r="E107" i="83"/>
  <c r="U166" i="83"/>
  <c r="AC228" i="83"/>
  <c r="AC13" i="83"/>
  <c r="Y6" i="83" s="1"/>
  <c r="Y13" i="83" s="1"/>
  <c r="U6" i="83" s="1"/>
  <c r="U13" i="83" s="1"/>
  <c r="AD9" i="83"/>
  <c r="AI40" i="83"/>
  <c r="AE40" i="83"/>
  <c r="AA51" i="83"/>
  <c r="AA41" i="83"/>
  <c r="G51" i="83"/>
  <c r="AG166" i="83"/>
  <c r="AA50" i="83"/>
  <c r="E166" i="83"/>
  <c r="AK107" i="83"/>
  <c r="AI41" i="83"/>
  <c r="AE51" i="83"/>
  <c r="AE52" i="83"/>
  <c r="U107" i="83"/>
  <c r="G41" i="83"/>
  <c r="Y166" i="83"/>
  <c r="G40" i="83"/>
  <c r="U241" i="83"/>
  <c r="AI51" i="83"/>
  <c r="AK180" i="83"/>
  <c r="Y107" i="83"/>
  <c r="AI50" i="83"/>
  <c r="Y217" i="83"/>
  <c r="Y219" i="83" s="1"/>
  <c r="G50" i="83"/>
  <c r="U180" i="83"/>
  <c r="U202" i="83"/>
  <c r="E217" i="83"/>
  <c r="E219" i="83" s="1"/>
  <c r="AC166" i="83"/>
  <c r="F245" i="83" l="1"/>
  <c r="A9" i="83"/>
  <c r="D12" i="82" l="1"/>
  <c r="D11" i="82"/>
  <c r="D9" i="82"/>
  <c r="D10" i="82" l="1"/>
</calcChain>
</file>

<file path=xl/comments1.xml><?xml version="1.0" encoding="utf-8"?>
<comments xmlns="http://schemas.openxmlformats.org/spreadsheetml/2006/main">
  <authors>
    <author>Julie Arendse</author>
  </authors>
  <commentList>
    <comment ref="C7" authorId="0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C8" authorId="0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sharedStrings.xml><?xml version="1.0" encoding="utf-8"?>
<sst xmlns="http://schemas.openxmlformats.org/spreadsheetml/2006/main" count="460" uniqueCount="322">
  <si>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</si>
  <si>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</si>
  <si>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</si>
  <si>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</si>
  <si>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</si>
  <si>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</si>
  <si>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</si>
  <si>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</si>
  <si>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</si>
  <si>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</si>
  <si>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</si>
  <si>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</si>
  <si>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</si>
  <si>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</si>
  <si>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</si>
  <si>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(a)</t>
  </si>
  <si>
    <t>(b)</t>
  </si>
  <si>
    <t>(d)</t>
  </si>
  <si>
    <t>(e)</t>
  </si>
  <si>
    <t>(f)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</si>
  <si>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</si>
  <si>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</si>
  <si>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</si>
  <si>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</si>
  <si>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</si>
  <si>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</si>
  <si>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</si>
  <si>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</si>
  <si>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</si>
  <si>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</si>
  <si>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</si>
  <si>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</si>
  <si>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Dollar value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</si>
  <si>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</si>
  <si>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</si>
  <si>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</si>
  <si>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</si>
  <si>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</si>
  <si>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</si>
  <si>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</si>
  <si>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</si>
  <si>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</si>
  <si>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</si>
  <si>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No. of Contracts</t>
  </si>
  <si>
    <t>Payments in Arrears ($)</t>
  </si>
  <si>
    <t>Payments in Arrears (%)</t>
  </si>
  <si>
    <t>Total</t>
  </si>
  <si>
    <t>Account Balances in Arrears</t>
  </si>
  <si>
    <t>Acc Balance in Arrears ($)</t>
  </si>
  <si>
    <t>Acc. Bal. in Arrears (%)</t>
  </si>
  <si>
    <t>Geographic Distribution</t>
  </si>
  <si>
    <t>NSW</t>
  </si>
  <si>
    <t>New South Wales</t>
  </si>
  <si>
    <t>VIC</t>
  </si>
  <si>
    <t>Victoria</t>
  </si>
  <si>
    <t>QLD</t>
  </si>
  <si>
    <t>Queensland</t>
  </si>
  <si>
    <t>SA</t>
  </si>
  <si>
    <t>South Australia</t>
  </si>
  <si>
    <t>NT</t>
  </si>
  <si>
    <t>Northern Territory</t>
  </si>
  <si>
    <t>ACT</t>
  </si>
  <si>
    <t>Australian Capital Territory</t>
  </si>
  <si>
    <t>TAS</t>
  </si>
  <si>
    <t>Tasmania</t>
  </si>
  <si>
    <t>WA</t>
  </si>
  <si>
    <t>Western Australia</t>
  </si>
  <si>
    <t>Top Industry Distribution</t>
  </si>
  <si>
    <t>AG</t>
  </si>
  <si>
    <t>Agricultural</t>
  </si>
  <si>
    <t>CE</t>
  </si>
  <si>
    <t>Construction</t>
  </si>
  <si>
    <t>Collateral Types</t>
  </si>
  <si>
    <t>COMBINE</t>
  </si>
  <si>
    <t>40-100 HP TRACTOR</t>
  </si>
  <si>
    <t>Over 100 HP Tractor</t>
  </si>
  <si>
    <t>Other AG</t>
  </si>
  <si>
    <t>SKIDSTEER / UNILOADER</t>
  </si>
  <si>
    <t>Other CE</t>
  </si>
  <si>
    <t>Fronts</t>
  </si>
  <si>
    <t>Irrigation Equipment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</si>
  <si>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</si>
  <si>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</si>
  <si>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</si>
  <si>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</si>
  <si>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</si>
  <si>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</si>
  <si>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</si>
  <si>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</si>
  <si>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</si>
  <si>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</si>
  <si>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</si>
  <si>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</si>
  <si>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</si>
  <si>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</si>
  <si>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</si>
  <si>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</si>
  <si>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</si>
  <si>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</si>
  <si>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2004 Q1</t>
  </si>
  <si>
    <t>2004 Q2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</si>
  <si>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</si>
  <si>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</si>
  <si>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</si>
  <si>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</si>
  <si>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</si>
  <si>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</si>
  <si>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</si>
  <si>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</si>
  <si>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</si>
  <si>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</si>
  <si>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</si>
  <si>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</si>
  <si>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 xml:space="preserve"> 0 - 30 Days</t>
  </si>
  <si>
    <t>151 - 180 Days</t>
  </si>
  <si>
    <t>121 - 150 Days</t>
  </si>
  <si>
    <t>100-140 HP TRACTOR</t>
  </si>
  <si>
    <t>40-60 HP TRACTOR</t>
  </si>
  <si>
    <t>60-100 HP TRACTOR</t>
  </si>
  <si>
    <t>OVER 140 HP TRACTOR</t>
  </si>
  <si>
    <t>Class B Notes</t>
  </si>
  <si>
    <t>Seller Notes</t>
  </si>
  <si>
    <t>Initial Invested Amount</t>
  </si>
  <si>
    <t>Drill</t>
  </si>
  <si>
    <t>Front End Loader</t>
  </si>
  <si>
    <t>Cane Harvesters</t>
  </si>
  <si>
    <t>Combines</t>
  </si>
  <si>
    <t>40&lt;100 HP Tractor</t>
  </si>
  <si>
    <t>SPRAYING EQUIPMENT</t>
  </si>
  <si>
    <t>4 EWD Tractors</t>
  </si>
  <si>
    <t>Under 40 HP Tractors</t>
  </si>
  <si>
    <t>CULTIVATORS,SEEDERS, HARROWS</t>
  </si>
  <si>
    <t>Backhoes</t>
  </si>
  <si>
    <t>Wheel Loaders</t>
  </si>
  <si>
    <t>Trenchers</t>
  </si>
  <si>
    <t>Rollers</t>
  </si>
  <si>
    <t>Cotton Pickers</t>
  </si>
  <si>
    <t>2010Q1</t>
  </si>
  <si>
    <t>2010Q2</t>
  </si>
  <si>
    <t>2010Q3</t>
  </si>
  <si>
    <t>2010Q4</t>
  </si>
  <si>
    <t>2011Q1</t>
  </si>
  <si>
    <t>2011Q2</t>
  </si>
  <si>
    <t>2011Q3</t>
  </si>
  <si>
    <t>2012Q1</t>
  </si>
  <si>
    <t>2012Q2</t>
  </si>
  <si>
    <t>2011Q4</t>
  </si>
  <si>
    <t>BALERS, WINDROWERS, MOWERS, RAKES</t>
  </si>
  <si>
    <t>CRAWLERS / DOZERS</t>
  </si>
  <si>
    <t>DUMP TRUCKS</t>
  </si>
  <si>
    <t>EXCAVATORS / GRADERS</t>
  </si>
  <si>
    <t>FEEDERS, MIXERS, WAGONS, BINS, FEED STORAGE</t>
  </si>
  <si>
    <t>HARVESTERS - Other</t>
  </si>
  <si>
    <t>MATERIALS HANDLING EQUIPMENT</t>
  </si>
  <si>
    <t>AGRICULTURAL MACHINERY</t>
  </si>
  <si>
    <t>CONSTRUCTION EQUIPMENT</t>
  </si>
  <si>
    <t>$200,001 to $300,000</t>
  </si>
  <si>
    <t>$150,000 to $200,000</t>
  </si>
  <si>
    <t>61 to 72 months</t>
  </si>
  <si>
    <t>Class A2 Notes</t>
  </si>
  <si>
    <t>Class A1 Notes</t>
  </si>
  <si>
    <t>4WD VEHICLE</t>
  </si>
  <si>
    <t>COMMERCIAL VEHICLE</t>
  </si>
  <si>
    <t>SCRAPERS</t>
  </si>
  <si>
    <t>MOTOR VEHICLE - AG</t>
  </si>
  <si>
    <t>2012Q3</t>
  </si>
  <si>
    <t>2012Q4</t>
  </si>
  <si>
    <t>2013Q1</t>
  </si>
  <si>
    <t>2013Q2</t>
  </si>
  <si>
    <t>2013Q3</t>
  </si>
  <si>
    <t>2013Q4</t>
  </si>
  <si>
    <t>2014Q1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</si>
  <si>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</si>
  <si>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</si>
  <si>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</si>
  <si>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</si>
  <si>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</si>
  <si>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</si>
  <si>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</si>
  <si>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</si>
  <si>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</si>
  <si>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</si>
  <si>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</si>
  <si>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</si>
  <si>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</si>
  <si>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</si>
  <si>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</si>
  <si>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</si>
  <si>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</si>
  <si>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</si>
  <si>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</si>
  <si>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</si>
  <si>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</si>
  <si>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</si>
  <si>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</si>
  <si>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</si>
  <si>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</si>
  <si>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</si>
  <si>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</si>
  <si>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</si>
  <si>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</si>
  <si>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</si>
  <si>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</si>
  <si>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</si>
  <si>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</si>
  <si>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</si>
  <si>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</si>
  <si>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</si>
  <si>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</si>
  <si>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</si>
  <si>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</si>
  <si>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</si>
  <si>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</si>
  <si>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</si>
  <si>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</si>
  <si>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</si>
  <si>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</si>
  <si>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</si>
  <si>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</si>
  <si>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</si>
  <si>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</si>
  <si>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</si>
  <si>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</si>
  <si>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Others</t>
  </si>
  <si>
    <t>GUIDANCE SYSTEMS</t>
  </si>
  <si>
    <t>Guidance Systems</t>
  </si>
  <si>
    <t>2014Q2</t>
  </si>
  <si>
    <t>2014Q3</t>
  </si>
  <si>
    <t>2014Q4</t>
  </si>
  <si>
    <t>2015Q1</t>
  </si>
  <si>
    <t>49-60 Months</t>
  </si>
  <si>
    <t>0 - 30 Days</t>
  </si>
  <si>
    <t>31 - 60 Days</t>
  </si>
  <si>
    <t>61 - 90 Days</t>
  </si>
  <si>
    <t>91 - 120 Days</t>
  </si>
  <si>
    <t>Refinance - Hardship</t>
  </si>
  <si>
    <t>CNH CAPITAL AUSTRALIA RECEIVABLES TRUST SERIES 2011-1 (TERM DEAL)</t>
  </si>
  <si>
    <t>&gt; 30 days</t>
  </si>
  <si>
    <t>&gt;90 days</t>
  </si>
  <si>
    <t>2015Q2</t>
  </si>
  <si>
    <t>2015Q3</t>
  </si>
  <si>
    <t>2015Q4</t>
  </si>
  <si>
    <t>2016Q1</t>
  </si>
  <si>
    <t>2016Q2</t>
  </si>
  <si>
    <t>2016Q3</t>
  </si>
  <si>
    <t>2016Q4</t>
  </si>
  <si>
    <t>* Expressed as a % of Aggreg. Rec. closing bal.</t>
  </si>
  <si>
    <t>nEWVuSED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</si>
  <si>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</si>
  <si>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</si>
  <si>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</si>
  <si>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</si>
  <si>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</si>
  <si>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</si>
  <si>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</si>
  <si>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</si>
  <si>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</si>
  <si>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</si>
  <si>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</si>
  <si>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</si>
  <si>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</si>
  <si>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</si>
  <si>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6 to 10</t>
  </si>
  <si>
    <t>41+ %</t>
  </si>
  <si>
    <t>Q42012</t>
  </si>
  <si>
    <t>Q12013</t>
  </si>
  <si>
    <t>Q22013</t>
  </si>
  <si>
    <t>Q32013</t>
  </si>
  <si>
    <t>Q42013</t>
  </si>
  <si>
    <t>Q12014</t>
  </si>
  <si>
    <t>Q22014</t>
  </si>
  <si>
    <t>Q32014</t>
  </si>
  <si>
    <t>Q42014</t>
  </si>
  <si>
    <t>Q12015</t>
  </si>
  <si>
    <t>Q22015</t>
  </si>
  <si>
    <t>Q32015</t>
  </si>
  <si>
    <t>Q42015</t>
  </si>
  <si>
    <t>Q12016</t>
  </si>
  <si>
    <t>Q22016</t>
  </si>
  <si>
    <t>Q32016</t>
  </si>
  <si>
    <t>Q22012</t>
  </si>
  <si>
    <t>60+ months</t>
  </si>
  <si>
    <t>0 - 12 months</t>
  </si>
  <si>
    <t>13 - 24 months</t>
  </si>
  <si>
    <t>25 - 36 months</t>
  </si>
  <si>
    <t>37 - 48 months</t>
  </si>
  <si>
    <t>4.01% to 5%</t>
  </si>
  <si>
    <t>5.01% to 6%</t>
  </si>
  <si>
    <t>6.01% to 7%</t>
  </si>
  <si>
    <t>7.01% to 8%</t>
  </si>
  <si>
    <t>8.01% to 9%</t>
  </si>
  <si>
    <t>9.01% to 10%</t>
  </si>
  <si>
    <t>10.01% to 11%</t>
  </si>
  <si>
    <t>11.01% to 12%</t>
  </si>
  <si>
    <t xml:space="preserve">(i) 0.85% if that Payment Date is before the second anniversary of the Closing Date: </t>
  </si>
  <si>
    <t>(d) as at immediately preceding Determination Date, average of aggregate principal outstanding of Purchased Receivables over previous two collection periods that have a scheduled payment more than 60 days overdue less than or equal to 2.5% of the average of the aggregate principal outstanding of all Purchased Receivables on each such determination date</t>
  </si>
  <si>
    <t>3.01% to 4%</t>
  </si>
  <si>
    <t>1. 0 - 30 Days</t>
  </si>
  <si>
    <t>2. 31 - 60 Days</t>
  </si>
  <si>
    <t>3. 61 - 90 Days</t>
  </si>
  <si>
    <t>4. 91 - 120 Days</t>
  </si>
  <si>
    <t>5. 121 - 150 Days</t>
  </si>
  <si>
    <t>6. 151 - 180 Days</t>
  </si>
  <si>
    <t>Cumulative Defaults &amp; Losses</t>
  </si>
  <si>
    <t>Month</t>
  </si>
  <si>
    <t>Gross Losses</t>
  </si>
  <si>
    <t>Net Losses</t>
  </si>
  <si>
    <t>01. 10% to 20%</t>
  </si>
  <si>
    <t>02. 21% to 30%</t>
  </si>
  <si>
    <t>03. 31% to 40%</t>
  </si>
  <si>
    <t>04. 41% to 50%</t>
  </si>
  <si>
    <t>05. 51% to 60%</t>
  </si>
  <si>
    <t>06. 61% to 70%</t>
  </si>
  <si>
    <t>07. 71% to 80%</t>
  </si>
  <si>
    <t>08. 81% to 90%</t>
  </si>
  <si>
    <t>09. 91% to 100%</t>
  </si>
  <si>
    <t>Invested Amount as at Previous Payment Date:  16 December 2013</t>
  </si>
  <si>
    <t>Stated Amount as at Previous Payment Date:  16 December 2013</t>
  </si>
  <si>
    <t>Invested Amount as at Payment Date:  17 March 2014</t>
  </si>
  <si>
    <t>Stated Amount as at Payment Date:  17 March 2014</t>
  </si>
  <si>
    <t>Bond Factor at Payment Date:  17 March 2014</t>
  </si>
  <si>
    <t>Coupon Entitlement to be paid out on the current Payment Date: 17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</si>
</sst>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#,##0.00%;[Red]\(#,##0.00\)%"/>
    <numFmt numFmtId="168" formatCode="_-* #,##0_-;\-* #,##0_-;_-* &quot;-&quot;??_-;_-@_-"/>
  </numFmts>
  <fonts count="27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sz val="8"/>
      <color indexed="9"/>
      <name val="Arial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i/>
      <sz val="8"/>
      <color indexed="9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0" fontId="17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2" fillId="0" borderId="1" xfId="0" applyFont="1" applyBorder="1"/>
    <xf numFmtId="0" fontId="7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10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vertical="top"/>
    </xf>
    <xf numFmtId="0" fontId="7" fillId="0" borderId="4" xfId="0" applyFont="1" applyBorder="1" applyAlignment="1">
      <alignment horizontal="left" vertical="top"/>
    </xf>
    <xf numFmtId="0" fontId="8" fillId="0" borderId="11" xfId="0" applyFont="1" applyBorder="1" applyAlignment="1">
      <alignment vertical="top"/>
    </xf>
    <xf numFmtId="0" fontId="9" fillId="2" borderId="0" xfId="0" applyFont="1" applyFill="1"/>
    <xf numFmtId="0" fontId="2" fillId="0" borderId="0" xfId="0" quotePrefix="1" applyFont="1" applyFill="1"/>
    <xf numFmtId="0" fontId="2" fillId="0" borderId="4" xfId="0" applyFont="1" applyFill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1" xfId="0" applyFont="1" applyFill="1" applyBorder="1"/>
    <xf numFmtId="0" fontId="2" fillId="0" borderId="3" xfId="0" quotePrefix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 vertical="top"/>
    </xf>
    <xf numFmtId="0" fontId="6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7" fillId="0" borderId="0" xfId="0" quotePrefix="1" applyFont="1" applyBorder="1" applyAlignment="1">
      <alignment horizontal="left" vertical="top"/>
    </xf>
    <xf numFmtId="0" fontId="10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0" fontId="9" fillId="0" borderId="0" xfId="0" applyFont="1" applyFill="1"/>
    <xf numFmtId="0" fontId="5" fillId="2" borderId="0" xfId="0" applyFont="1" applyFill="1"/>
    <xf numFmtId="0" fontId="5" fillId="0" borderId="0" xfId="0" applyFont="1" applyFill="1"/>
    <xf numFmtId="15" fontId="5" fillId="2" borderId="0" xfId="0" applyNumberFormat="1" applyFont="1" applyFill="1" applyAlignment="1">
      <alignment horizontal="center"/>
    </xf>
    <xf numFmtId="44" fontId="2" fillId="0" borderId="0" xfId="0" applyNumberFormat="1" applyFont="1"/>
    <xf numFmtId="44" fontId="2" fillId="0" borderId="0" xfId="0" applyNumberFormat="1" applyFont="1" applyFill="1"/>
    <xf numFmtId="15" fontId="5" fillId="0" borderId="0" xfId="0" applyNumberFormat="1" applyFont="1" applyFill="1" applyAlignment="1">
      <alignment horizontal="center"/>
    </xf>
    <xf numFmtId="0" fontId="4" fillId="0" borderId="0" xfId="0" applyFont="1" applyFill="1"/>
    <xf numFmtId="3" fontId="11" fillId="0" borderId="0" xfId="5" applyNumberFormat="1" applyFont="1" applyFill="1"/>
    <xf numFmtId="166" fontId="11" fillId="0" borderId="0" xfId="5" applyNumberFormat="1" applyFont="1" applyFill="1"/>
    <xf numFmtId="3" fontId="2" fillId="0" borderId="0" xfId="0" applyNumberFormat="1" applyFont="1" applyFill="1"/>
    <xf numFmtId="4" fontId="11" fillId="0" borderId="0" xfId="5" applyNumberFormat="1" applyFont="1" applyFill="1"/>
    <xf numFmtId="10" fontId="11" fillId="0" borderId="0" xfId="6" applyNumberFormat="1" applyFont="1" applyFill="1"/>
    <xf numFmtId="0" fontId="11" fillId="0" borderId="0" xfId="5" applyFont="1" applyFill="1"/>
    <xf numFmtId="0" fontId="9" fillId="0" borderId="0" xfId="0" applyFont="1" applyFill="1" applyAlignment="1">
      <alignment wrapText="1"/>
    </xf>
    <xf numFmtId="0" fontId="4" fillId="0" borderId="10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0" fontId="2" fillId="0" borderId="0" xfId="0" applyNumberFormat="1" applyFont="1"/>
    <xf numFmtId="10" fontId="2" fillId="0" borderId="0" xfId="0" applyNumberFormat="1" applyFont="1" applyFill="1"/>
    <xf numFmtId="0" fontId="2" fillId="0" borderId="0" xfId="0" quotePrefix="1" applyFont="1"/>
    <xf numFmtId="3" fontId="2" fillId="0" borderId="12" xfId="0" applyNumberFormat="1" applyFont="1" applyFill="1" applyBorder="1"/>
    <xf numFmtId="10" fontId="2" fillId="0" borderId="0" xfId="0" applyNumberFormat="1" applyFont="1" applyFill="1" applyBorder="1"/>
    <xf numFmtId="0" fontId="12" fillId="0" borderId="0" xfId="0" applyFont="1"/>
    <xf numFmtId="0" fontId="12" fillId="0" borderId="0" xfId="0" applyFont="1" applyFill="1"/>
    <xf numFmtId="0" fontId="9" fillId="0" borderId="0" xfId="0" applyFont="1"/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10" fontId="2" fillId="0" borderId="0" xfId="6" applyNumberFormat="1" applyFont="1"/>
    <xf numFmtId="10" fontId="2" fillId="0" borderId="12" xfId="6" applyNumberFormat="1" applyFont="1" applyBorder="1"/>
    <xf numFmtId="10" fontId="2" fillId="0" borderId="0" xfId="1" applyNumberFormat="1" applyFont="1"/>
    <xf numFmtId="0" fontId="6" fillId="0" borderId="0" xfId="0" applyFont="1" applyFill="1"/>
    <xf numFmtId="0" fontId="13" fillId="0" borderId="0" xfId="0" applyFont="1" applyFill="1"/>
    <xf numFmtId="0" fontId="14" fillId="0" borderId="0" xfId="0" applyFont="1"/>
    <xf numFmtId="0" fontId="13" fillId="0" borderId="0" xfId="0" applyFont="1"/>
    <xf numFmtId="0" fontId="9" fillId="0" borderId="0" xfId="0" applyFont="1" applyFill="1" applyBorder="1"/>
    <xf numFmtId="10" fontId="2" fillId="0" borderId="0" xfId="6" applyNumberFormat="1" applyFont="1" applyFill="1"/>
    <xf numFmtId="164" fontId="2" fillId="0" borderId="1" xfId="6" applyNumberFormat="1" applyFont="1" applyBorder="1"/>
    <xf numFmtId="44" fontId="2" fillId="3" borderId="9" xfId="0" applyNumberFormat="1" applyFont="1" applyFill="1" applyBorder="1"/>
    <xf numFmtId="44" fontId="2" fillId="0" borderId="9" xfId="0" applyNumberFormat="1" applyFont="1" applyBorder="1"/>
    <xf numFmtId="44" fontId="2" fillId="0" borderId="0" xfId="2" applyFont="1" applyFill="1"/>
    <xf numFmtId="44" fontId="11" fillId="0" borderId="0" xfId="2" applyFont="1" applyFill="1"/>
    <xf numFmtId="39" fontId="2" fillId="0" borderId="0" xfId="0" applyNumberFormat="1" applyFont="1"/>
    <xf numFmtId="39" fontId="2" fillId="0" borderId="0" xfId="0" applyNumberFormat="1" applyFont="1" applyFill="1"/>
    <xf numFmtId="164" fontId="2" fillId="0" borderId="1" xfId="6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6" applyNumberFormat="1" applyFont="1" applyFill="1" applyBorder="1"/>
    <xf numFmtId="164" fontId="2" fillId="0" borderId="7" xfId="6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43" fontId="2" fillId="0" borderId="0" xfId="1" applyFont="1"/>
    <xf numFmtId="10" fontId="2" fillId="0" borderId="0" xfId="6" applyNumberFormat="1" applyFont="1" applyFill="1" applyBorder="1"/>
    <xf numFmtId="10" fontId="10" fillId="0" borderId="0" xfId="6" applyNumberFormat="1" applyFont="1" applyAlignment="1">
      <alignment horizontal="right"/>
    </xf>
    <xf numFmtId="0" fontId="19" fillId="0" borderId="0" xfId="0" applyFont="1"/>
    <xf numFmtId="0" fontId="20" fillId="0" borderId="0" xfId="0" applyFont="1" applyFill="1"/>
    <xf numFmtId="0" fontId="20" fillId="0" borderId="0" xfId="0" applyFont="1"/>
    <xf numFmtId="0" fontId="3" fillId="0" borderId="0" xfId="0" applyFont="1" applyFill="1"/>
    <xf numFmtId="0" fontId="16" fillId="0" borderId="0" xfId="0" applyFont="1" applyFill="1"/>
    <xf numFmtId="4" fontId="2" fillId="0" borderId="6" xfId="0" quotePrefix="1" applyNumberFormat="1" applyFont="1" applyFill="1" applyBorder="1"/>
    <xf numFmtId="43" fontId="5" fillId="2" borderId="0" xfId="1" applyFont="1" applyFill="1" applyAlignment="1">
      <alignment horizontal="center"/>
    </xf>
    <xf numFmtId="43" fontId="2" fillId="0" borderId="7" xfId="1" applyFont="1" applyFill="1" applyBorder="1"/>
    <xf numFmtId="43" fontId="2" fillId="0" borderId="0" xfId="1" applyFont="1" applyFill="1" applyBorder="1"/>
    <xf numFmtId="43" fontId="15" fillId="0" borderId="0" xfId="1" quotePrefix="1" applyFont="1" applyFill="1" applyBorder="1"/>
    <xf numFmtId="43" fontId="11" fillId="0" borderId="0" xfId="1" applyFont="1"/>
    <xf numFmtId="43" fontId="4" fillId="0" borderId="10" xfId="1" applyFont="1" applyFill="1" applyBorder="1" applyAlignment="1">
      <alignment wrapText="1"/>
    </xf>
    <xf numFmtId="43" fontId="2" fillId="0" borderId="0" xfId="1" applyFont="1" applyFill="1"/>
    <xf numFmtId="43" fontId="2" fillId="0" borderId="0" xfId="1" applyFont="1" applyFill="1" applyAlignment="1">
      <alignment horizontal="right"/>
    </xf>
    <xf numFmtId="43" fontId="2" fillId="0" borderId="0" xfId="1" applyFont="1" applyAlignment="1">
      <alignment horizontal="right"/>
    </xf>
    <xf numFmtId="43" fontId="2" fillId="0" borderId="2" xfId="1" applyFont="1" applyBorder="1"/>
    <xf numFmtId="0" fontId="0" fillId="0" borderId="0" xfId="0" quotePrefix="1" applyNumberFormat="1"/>
    <xf numFmtId="0" fontId="19" fillId="0" borderId="0" xfId="0" quotePrefix="1" applyNumberFormat="1" applyFont="1" applyFill="1"/>
    <xf numFmtId="0" fontId="19" fillId="0" borderId="0" xfId="0" quotePrefix="1" applyNumberFormat="1" applyFont="1"/>
    <xf numFmtId="0" fontId="19" fillId="0" borderId="0" xfId="4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Fill="1" applyBorder="1"/>
    <xf numFmtId="0" fontId="6" fillId="0" borderId="0" xfId="0" applyFont="1" applyFill="1" applyBorder="1"/>
    <xf numFmtId="0" fontId="19" fillId="0" borderId="0" xfId="0" quotePrefix="1" applyNumberFormat="1" applyFont="1" applyBorder="1"/>
    <xf numFmtId="0" fontId="0" fillId="0" borderId="0" xfId="0" quotePrefix="1" applyNumberFormat="1" applyFill="1"/>
    <xf numFmtId="0" fontId="0" fillId="0" borderId="0" xfId="0" applyBorder="1"/>
    <xf numFmtId="0" fontId="0" fillId="0" borderId="0" xfId="0" applyNumberFormat="1" applyBorder="1"/>
    <xf numFmtId="43" fontId="3" fillId="0" borderId="0" xfId="0" applyNumberFormat="1" applyFont="1" applyFill="1"/>
    <xf numFmtId="9" fontId="2" fillId="0" borderId="12" xfId="6" applyFont="1" applyFill="1" applyBorder="1"/>
    <xf numFmtId="9" fontId="2" fillId="0" borderId="2" xfId="6" applyFont="1" applyBorder="1"/>
    <xf numFmtId="10" fontId="2" fillId="0" borderId="2" xfId="1" applyNumberFormat="1" applyFont="1" applyBorder="1"/>
    <xf numFmtId="43" fontId="2" fillId="0" borderId="2" xfId="1" applyNumberFormat="1" applyFont="1" applyBorder="1"/>
    <xf numFmtId="10" fontId="2" fillId="0" borderId="12" xfId="6" applyNumberFormat="1" applyFont="1" applyFill="1" applyBorder="1"/>
    <xf numFmtId="10" fontId="2" fillId="0" borderId="12" xfId="0" applyNumberFormat="1" applyFont="1" applyFill="1" applyBorder="1"/>
    <xf numFmtId="167" fontId="2" fillId="0" borderId="0" xfId="0" applyNumberFormat="1" applyFont="1"/>
    <xf numFmtId="167" fontId="2" fillId="0" borderId="0" xfId="1" applyNumberFormat="1" applyFont="1"/>
    <xf numFmtId="43" fontId="2" fillId="0" borderId="2" xfId="1" applyFont="1" applyFill="1" applyBorder="1"/>
    <xf numFmtId="3" fontId="2" fillId="0" borderId="0" xfId="0" applyNumberFormat="1" applyFont="1"/>
    <xf numFmtId="0" fontId="21" fillId="0" borderId="0" xfId="11" applyFont="1"/>
    <xf numFmtId="168" fontId="22" fillId="0" borderId="0" xfId="12" applyNumberFormat="1" applyFont="1"/>
    <xf numFmtId="0" fontId="22" fillId="0" borderId="0" xfId="11" applyFont="1"/>
    <xf numFmtId="0" fontId="22" fillId="0" borderId="0" xfId="11" applyFont="1" applyFill="1"/>
    <xf numFmtId="0" fontId="23" fillId="0" borderId="0" xfId="11" applyFont="1"/>
    <xf numFmtId="168" fontId="23" fillId="0" borderId="0" xfId="12" applyNumberFormat="1" applyFont="1" applyAlignment="1">
      <alignment horizontal="center"/>
    </xf>
    <xf numFmtId="17" fontId="22" fillId="0" borderId="0" xfId="11" applyNumberFormat="1" applyFont="1"/>
    <xf numFmtId="10" fontId="22" fillId="0" borderId="0" xfId="13" applyNumberFormat="1" applyFont="1"/>
    <xf numFmtId="10" fontId="22" fillId="0" borderId="0" xfId="11" applyNumberFormat="1" applyFont="1" applyFill="1"/>
    <xf numFmtId="10" fontId="22" fillId="0" borderId="0" xfId="6" applyNumberFormat="1" applyFont="1"/>
    <xf numFmtId="10" fontId="22" fillId="0" borderId="0" xfId="14" applyNumberFormat="1" applyFont="1" applyFill="1"/>
    <xf numFmtId="10" fontId="22" fillId="0" borderId="0" xfId="14" applyNumberFormat="1" applyFont="1"/>
    <xf numFmtId="44" fontId="3" fillId="4" borderId="0" xfId="0" applyNumberFormat="1" applyFont="1" applyFill="1"/>
    <xf numFmtId="0" fontId="7" fillId="0" borderId="13" xfId="0" applyFont="1" applyFill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2" fillId="0" borderId="18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right"/>
    </xf>
    <xf numFmtId="0" fontId="7" fillId="0" borderId="7" xfId="0" applyFont="1" applyFill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4" xfId="0" applyFont="1" applyBorder="1" applyAlignment="1">
      <alignment vertical="top"/>
    </xf>
    <xf numFmtId="0" fontId="2" fillId="0" borderId="19" xfId="0" applyFont="1" applyFill="1" applyBorder="1" applyAlignment="1">
      <alignment horizontal="right"/>
    </xf>
  </cellXfs>
  <cellStyles count="15">
    <cellStyle name="Comma" xfId="1" builtinId="3"/>
    <cellStyle name="Comma 11" xfId="10"/>
    <cellStyle name="Comma 2" xfId="12"/>
    <cellStyle name="Comma 6" xfId="7"/>
    <cellStyle name="Comma 8" xfId="8"/>
    <cellStyle name="Comma 9" xfId="9"/>
    <cellStyle name="Currency" xfId="2" builtinId="4"/>
    <cellStyle name="Normal" xfId="0" builtinId="0"/>
    <cellStyle name="Normal 2" xfId="3"/>
    <cellStyle name="Normal 2 2" xfId="11"/>
    <cellStyle name="Normal_(917__REMAINING_TERM" xfId="4"/>
    <cellStyle name="Normal_310801 Quarterly Portfolio Requirements" xfId="5"/>
    <cellStyle name="Percent" xfId="6" builtinId="5"/>
    <cellStyle name="Percent 2" xfId="13"/>
    <cellStyle name="Percent 3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calcChain" Target="calcChain.xml"/><Relationship Id="rId50" Type="http://schemas.openxmlformats.org/officeDocument/2006/relationships/customXml" Target="../customXml/item2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microsoft.com/office/2006/relationships/vbaProject" Target="vbaProject.bin"/><Relationship Id="rId8" Type="http://schemas.openxmlformats.org/officeDocument/2006/relationships/externalLink" Target="externalLinks/externalLink5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sharedStrings" Target="sharedStrings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Gross Losses</c:v>
                </c:pt>
              </c:strCache>
            </c:strRef>
          </c:tx>
          <c:cat>
            <c:numRef>
              <c:f>'Cumulative Defaults'!$A$4:$A$13</c:f>
              <c:numCache>
                <c:formatCode>mmm\-yy</c:formatCode>
                <c:ptCount val="10"/>
                <c:pt idx="0">
                  <c:v>40848</c:v>
                </c:pt>
                <c:pt idx="1">
                  <c:v>40968</c:v>
                </c:pt>
                <c:pt idx="2">
                  <c:v>41060</c:v>
                </c:pt>
                <c:pt idx="3">
                  <c:v>41151</c:v>
                </c:pt>
                <c:pt idx="4">
                  <c:v>41243</c:v>
                </c:pt>
                <c:pt idx="5">
                  <c:v>41333</c:v>
                </c:pt>
                <c:pt idx="6">
                  <c:v>41425</c:v>
                </c:pt>
                <c:pt idx="7">
                  <c:v>41517</c:v>
                </c:pt>
                <c:pt idx="8">
                  <c:v>41608</c:v>
                </c:pt>
                <c:pt idx="9">
                  <c:v>41671</c:v>
                </c:pt>
              </c:numCache>
            </c:numRef>
          </c:cat>
          <c:val>
            <c:numRef>
              <c:f>'Cumulative Defaults'!$B$4:$B$13</c:f>
              <c:numCache>
                <c:formatCode>0.00%</c:formatCode>
                <c:ptCount val="10"/>
                <c:pt idx="0">
                  <c:v>6.3730749068227372E-4</c:v>
                </c:pt>
                <c:pt idx="1">
                  <c:v>7.8575568839498605E-4</c:v>
                </c:pt>
                <c:pt idx="2">
                  <c:v>1.478007888394986E-3</c:v>
                </c:pt>
                <c:pt idx="3">
                  <c:v>3.3036485741092716E-3</c:v>
                </c:pt>
                <c:pt idx="4">
                  <c:v>4.9862990598235572E-3</c:v>
                </c:pt>
                <c:pt idx="5">
                  <c:v>5.2467130883949858E-3</c:v>
                </c:pt>
                <c:pt idx="6">
                  <c:v>1.0008851316966414E-2</c:v>
                </c:pt>
                <c:pt idx="7">
                  <c:v>1.4294924488394985E-2</c:v>
                </c:pt>
                <c:pt idx="8">
                  <c:v>1.6283327574109271E-2</c:v>
                </c:pt>
                <c:pt idx="9">
                  <c:v>1.6659935716966414E-2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Recoveries</c:v>
                </c:pt>
              </c:strCache>
            </c:strRef>
          </c:tx>
          <c:cat>
            <c:numRef>
              <c:f>'Cumulative Defaults'!$A$4:$A$13</c:f>
              <c:numCache>
                <c:formatCode>mmm\-yy</c:formatCode>
                <c:ptCount val="10"/>
                <c:pt idx="0">
                  <c:v>40848</c:v>
                </c:pt>
                <c:pt idx="1">
                  <c:v>40968</c:v>
                </c:pt>
                <c:pt idx="2">
                  <c:v>41060</c:v>
                </c:pt>
                <c:pt idx="3">
                  <c:v>41151</c:v>
                </c:pt>
                <c:pt idx="4">
                  <c:v>41243</c:v>
                </c:pt>
                <c:pt idx="5">
                  <c:v>41333</c:v>
                </c:pt>
                <c:pt idx="6">
                  <c:v>41425</c:v>
                </c:pt>
                <c:pt idx="7">
                  <c:v>41517</c:v>
                </c:pt>
                <c:pt idx="8">
                  <c:v>41608</c:v>
                </c:pt>
                <c:pt idx="9">
                  <c:v>41671</c:v>
                </c:pt>
              </c:numCache>
            </c:numRef>
          </c:cat>
          <c:val>
            <c:numRef>
              <c:f>'Cumulative Defaults'!$C$4:$C$13</c:f>
              <c:numCache>
                <c:formatCode>0.00%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3.4700935585714286E-4</c:v>
                </c:pt>
                <c:pt idx="3">
                  <c:v>6.9401871171428573E-4</c:v>
                </c:pt>
                <c:pt idx="4">
                  <c:v>1.2501595844415583E-3</c:v>
                </c:pt>
                <c:pt idx="5">
                  <c:v>1.8300154857402596E-3</c:v>
                </c:pt>
                <c:pt idx="6">
                  <c:v>1.8300154857402596E-3</c:v>
                </c:pt>
                <c:pt idx="7">
                  <c:v>3.1237907948311683E-3</c:v>
                </c:pt>
                <c:pt idx="8">
                  <c:v>5.1158581922337654E-3</c:v>
                </c:pt>
                <c:pt idx="9">
                  <c:v>7.6290987169142848E-3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Net Losses</c:v>
                </c:pt>
              </c:strCache>
            </c:strRef>
          </c:tx>
          <c:cat>
            <c:numRef>
              <c:f>'Cumulative Defaults'!$A$4:$A$13</c:f>
              <c:numCache>
                <c:formatCode>mmm\-yy</c:formatCode>
                <c:ptCount val="10"/>
                <c:pt idx="0">
                  <c:v>40848</c:v>
                </c:pt>
                <c:pt idx="1">
                  <c:v>40968</c:v>
                </c:pt>
                <c:pt idx="2">
                  <c:v>41060</c:v>
                </c:pt>
                <c:pt idx="3">
                  <c:v>41151</c:v>
                </c:pt>
                <c:pt idx="4">
                  <c:v>41243</c:v>
                </c:pt>
                <c:pt idx="5">
                  <c:v>41333</c:v>
                </c:pt>
                <c:pt idx="6">
                  <c:v>41425</c:v>
                </c:pt>
                <c:pt idx="7">
                  <c:v>41517</c:v>
                </c:pt>
                <c:pt idx="8">
                  <c:v>41608</c:v>
                </c:pt>
                <c:pt idx="9">
                  <c:v>41671</c:v>
                </c:pt>
              </c:numCache>
            </c:numRef>
          </c:cat>
          <c:val>
            <c:numRef>
              <c:f>'Cumulative Defaults'!$D$4:$D$13</c:f>
              <c:numCache>
                <c:formatCode>0.00%</c:formatCode>
                <c:ptCount val="10"/>
                <c:pt idx="0">
                  <c:v>6.3730749068227372E-4</c:v>
                </c:pt>
                <c:pt idx="1">
                  <c:v>7.8575568839498605E-4</c:v>
                </c:pt>
                <c:pt idx="2">
                  <c:v>1.1309985325378431E-3</c:v>
                </c:pt>
                <c:pt idx="3">
                  <c:v>2.6096298623949857E-3</c:v>
                </c:pt>
                <c:pt idx="4">
                  <c:v>3.7361394753819988E-3</c:v>
                </c:pt>
                <c:pt idx="5">
                  <c:v>3.4166976026547263E-3</c:v>
                </c:pt>
                <c:pt idx="6">
                  <c:v>8.1788358312261545E-3</c:v>
                </c:pt>
                <c:pt idx="7">
                  <c:v>1.1171133693563817E-2</c:v>
                </c:pt>
                <c:pt idx="8">
                  <c:v>1.1167469381875506E-2</c:v>
                </c:pt>
                <c:pt idx="9">
                  <c:v>9.0308370000521283E-3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058112"/>
        <c:axId val="130059648"/>
      </c:lineChart>
      <c:dateAx>
        <c:axId val="13005811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130059648"/>
        <c:crosses val="autoZero"/>
        <c:auto val="1"/>
        <c:lblOffset val="100"/>
        <c:baseTimeUnit val="months"/>
        <c:majorUnit val="3"/>
        <c:majorTimeUnit val="months"/>
      </c:dateAx>
      <c:valAx>
        <c:axId val="130059648"/>
        <c:scaling>
          <c:orientation val="minMax"/>
          <c:max val="0.05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300581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57150</xdr:rowOff>
    </xdr:from>
    <xdr:to>
      <xdr:col>14</xdr:col>
      <xdr:colOff>28575</xdr:colOff>
      <xdr:row>22</xdr:row>
      <xdr:rowOff>114300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0.78056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47750" y="152400"/>
          <a:ext cx="4305299" cy="552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2011-1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1]!Print_Collateral_Data" textlink="">
      <xdr:nvSpPr>
        <xdr:cNvPr id="2" name="Rectangle 1"/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402%20CNH%20Series%202011-1%20QM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Servicer%20Reconciliation/201111/201111%202011-1%20Servicer%20Reconciliat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3/Payment%20Schedules/201311%202011-1%20P&amp;I%20Schedu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3/Payment%20Schedules/201312%202011-1%20P&amp;I%20Schedul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4/Payment%20Schedules/201401%202011-1%20P&amp;I%20Schedul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3/Payment%20Schedules/201301%202011-1%20P&amp;I%20Schedul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12%202011-1%20P&amp;I%20Schedu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11%202011-1%20P&amp;I%20Schedu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8%202011-1%20P&amp;I%20Schedul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9%202011-1%20P&amp;I%20Schedul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10%202011-1%20P&amp;I%20Schedul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5%202011-1%20P&amp;I%20Schedul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6%202011-1%20P&amp;I%20Schedul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7%202011-1%20P&amp;I%20Schedul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Payment%20Schedules/2012/201202%202011-1%20P&amp;I%20Schedule%20-%20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3%202011-1%20P&amp;I%20Schedul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Payment%20Schedules/201204%202011-1%20P&amp;I%20Schedu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Servicer%20Reconciliation/201111/201111%202011-1%20P&amp;I%20Schedule%20-%20ANZ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Payment%20Schedules/201112%202011-1%20P&amp;I%20Schedule%20-%20Summary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Payment%20Schedules/2012/201201%202011-1%20P&amp;I%20Schedule%20-%20Summar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0%20%20Capital%20Month%20End%20-%202013\2014-03-month%20end\201402%202011-1%20Servicer%20Reconciliation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3/Servicer%20Reconciliation/201302/201302%202011-1%20Servicer%20Reconciliation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11/201211%202011-1%20Servicer%20Reconciliation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8/Access/201208%202011-1%20Servicer%20Reconciliation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5/201205%202011-1%20Servicer%20Reconciliat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2%202011-1%20Servicer%20Reconciliat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4/Servicer%20Reconciliation/201402/201402%202011-1%20Base%20Tabl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3/Servicer%20Reconciliation/201302/201302%202011-1%20Monthly%20Base%20Tabl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11/201211%202011-1%20Monthly%20Base%20Table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8/Access/201208%202011-1%20Base%20Table%20-%20All%20Loan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5/201205%202011-1%20Base%20Table%20-%20All%20Loans%20for%20service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2%202011-1%20Base%20Table%20-%20All%20Loans%20Servicer%20Info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Servicer%20Reconciliation/201111/201111%202011-1%20Servicer%20Base%20Tabl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4/Servicer%20Reconciliation/201402/201402%202011-1%20Servicer%20Summarie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3/Servicer%20Reconciliation/201302/201302%202011-1%20Servicer%20Summarie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11/201211%202011-1%20Servicer%20Summaries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8/Access/201208%202011-1%20Servicer%20Summaries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5/201205%202011-1%20Service%20Summarie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02%20Servicer%20Summaries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Retail%20Securitisation/ABS%20Requirements%20-%202011-1/2012/Servicer%20Reconciliation/201211/201211%202011-1%20Monthly%20Base%20Table%20(copy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lateral Tables"/>
      <sheetName val="17 Mar 14"/>
      <sheetName val="16 Dec 13"/>
      <sheetName val="16 Sep 13"/>
      <sheetName val="17 Jun 13"/>
      <sheetName val="15 Mar 13"/>
      <sheetName val="17 Dec 12"/>
      <sheetName val="15 Sep 12"/>
      <sheetName val="15 Jun 12"/>
      <sheetName val="15 Mar 12"/>
      <sheetName val="15 Dec 11"/>
      <sheetName val="Seller Coupon"/>
    </sheetNames>
    <definedNames>
      <definedName name="Print_Collateral_Data"/>
    </definedNames>
    <sheetDataSet>
      <sheetData sheetId="0"/>
      <sheetData sheetId="1">
        <row r="15">
          <cell r="H15">
            <v>879634.18363818177</v>
          </cell>
        </row>
        <row r="23">
          <cell r="H23">
            <v>23310399.920000028</v>
          </cell>
        </row>
        <row r="37">
          <cell r="H37">
            <v>131812.85</v>
          </cell>
        </row>
      </sheetData>
      <sheetData sheetId="2"/>
      <sheetData sheetId="3"/>
      <sheetData sheetId="4"/>
      <sheetData sheetId="5">
        <row r="23">
          <cell r="H23">
            <v>28622446.360000011</v>
          </cell>
        </row>
        <row r="37">
          <cell r="H37">
            <v>91144.91</v>
          </cell>
        </row>
      </sheetData>
      <sheetData sheetId="6">
        <row r="15">
          <cell r="H15">
            <v>194649.30545454542</v>
          </cell>
        </row>
        <row r="23">
          <cell r="H23">
            <v>18918358.090000026</v>
          </cell>
        </row>
        <row r="37">
          <cell r="H37">
            <v>588927.66999999993</v>
          </cell>
        </row>
      </sheetData>
      <sheetData sheetId="7">
        <row r="15">
          <cell r="H15">
            <v>75560.320000000022</v>
          </cell>
        </row>
        <row r="23">
          <cell r="H23">
            <v>19725647.67000002</v>
          </cell>
        </row>
        <row r="37">
          <cell r="H37">
            <v>638974.24</v>
          </cell>
        </row>
      </sheetData>
      <sheetData sheetId="8">
        <row r="15">
          <cell r="H15">
            <v>121453.27455</v>
          </cell>
        </row>
        <row r="23">
          <cell r="H23">
            <v>35850434.739999898</v>
          </cell>
        </row>
        <row r="37">
          <cell r="H37">
            <v>242288.27000000002</v>
          </cell>
        </row>
      </sheetData>
      <sheetData sheetId="9">
        <row r="15">
          <cell r="H15">
            <v>0</v>
          </cell>
        </row>
        <row r="23">
          <cell r="H23">
            <v>33572891.629999973</v>
          </cell>
        </row>
        <row r="37">
          <cell r="H37">
            <v>51956.75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2011-1 Active"/>
      <sheetName val="2011-1 Defaults"/>
    </sheetNames>
    <sheetDataSet>
      <sheetData sheetId="0">
        <row r="4">
          <cell r="B4">
            <v>3797</v>
          </cell>
        </row>
        <row r="5">
          <cell r="B5">
            <v>323106015.30000007</v>
          </cell>
        </row>
        <row r="19">
          <cell r="B19">
            <v>96</v>
          </cell>
        </row>
        <row r="20">
          <cell r="B20">
            <v>10394004.800000001</v>
          </cell>
        </row>
        <row r="29">
          <cell r="B29">
            <v>349999197.02999997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3364919.9500000007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4698045.82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14507800.840000004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18105452.929999966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9619755.5100000016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3915546.6200000052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4472800.3200000059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4647352.9300000016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3282093.7600000063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8524820.0000000205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5554723.0099999942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4893325.4400000004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18289464.120000046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11648745.229999997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7885025.4900000002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ayment Schedule"/>
    </sheetNames>
    <sheetDataSet>
      <sheetData sheetId="0"/>
      <sheetData sheetId="1">
        <row r="2">
          <cell r="B2">
            <v>4072339.6399999973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B2">
            <v>7763078.4899999918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"/>
    </sheetNames>
    <sheetDataSet>
      <sheetData sheetId="0"/>
      <sheetData sheetId="1">
        <row r="2">
          <cell r="B2">
            <v>20033227.93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r Recon"/>
      <sheetName val="Active"/>
      <sheetName val="Default"/>
      <sheetName val="Sheet2"/>
    </sheetNames>
    <sheetDataSet>
      <sheetData sheetId="0">
        <row r="4">
          <cell r="B4">
            <v>2159</v>
          </cell>
        </row>
        <row r="5">
          <cell r="B5">
            <v>98972900.760000035</v>
          </cell>
        </row>
        <row r="19">
          <cell r="B19">
            <v>240</v>
          </cell>
        </row>
        <row r="20">
          <cell r="B20">
            <v>5361936.0300000031</v>
          </cell>
        </row>
      </sheetData>
      <sheetData sheetId="1"/>
      <sheetData sheetId="2"/>
      <sheetData sheetId="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r Recon"/>
      <sheetName val="Active"/>
      <sheetName val="Defaults"/>
    </sheetNames>
    <sheetDataSet>
      <sheetData sheetId="0">
        <row r="4">
          <cell r="B4">
            <v>3024</v>
          </cell>
        </row>
        <row r="5">
          <cell r="B5">
            <v>184802944.97000018</v>
          </cell>
        </row>
        <row r="16">
          <cell r="C16">
            <v>202949.56545454546</v>
          </cell>
        </row>
        <row r="19">
          <cell r="B19">
            <v>195</v>
          </cell>
        </row>
        <row r="20">
          <cell r="B20">
            <v>5550930.8200000031</v>
          </cell>
        </row>
      </sheetData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r Recon"/>
      <sheetName val="Active"/>
      <sheetName val="Defaults"/>
    </sheetNames>
    <sheetDataSet>
      <sheetData sheetId="0">
        <row r="4">
          <cell r="B4">
            <v>3222</v>
          </cell>
        </row>
        <row r="5">
          <cell r="B5">
            <v>213516536.23999986</v>
          </cell>
        </row>
        <row r="19">
          <cell r="B19">
            <v>138</v>
          </cell>
        </row>
        <row r="20">
          <cell r="B20">
            <v>9956977.629999999</v>
          </cell>
        </row>
      </sheetData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r Recon"/>
      <sheetName val="(1__2011_1_Servicer_Reconciliat"/>
      <sheetName val="Defaults"/>
    </sheetNames>
    <sheetDataSet>
      <sheetData sheetId="0">
        <row r="4">
          <cell r="B4">
            <v>3368</v>
          </cell>
        </row>
        <row r="5">
          <cell r="B5">
            <v>233023822.00000036</v>
          </cell>
        </row>
        <row r="19">
          <cell r="B19">
            <v>132</v>
          </cell>
        </row>
        <row r="20">
          <cell r="B20">
            <v>7715250.5100000016</v>
          </cell>
        </row>
      </sheetData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r Recon"/>
      <sheetName val="(1__2011_1_Servicer_Reconciliat"/>
      <sheetName val="Default"/>
    </sheetNames>
    <sheetDataSet>
      <sheetData sheetId="0">
        <row r="4">
          <cell r="B4">
            <v>3506</v>
          </cell>
        </row>
        <row r="5">
          <cell r="B5">
            <v>253388443.90999967</v>
          </cell>
        </row>
        <row r="19">
          <cell r="B19">
            <v>163</v>
          </cell>
        </row>
        <row r="20">
          <cell r="B20">
            <v>8519169.8800000008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(1__2011_1_Servicer_Reconciliat"/>
      <sheetName val="Defaults"/>
      <sheetName val="Defaults Detailed"/>
    </sheetNames>
    <sheetDataSet>
      <sheetData sheetId="0" refreshError="1">
        <row r="4">
          <cell r="B4">
            <v>3672</v>
          </cell>
        </row>
        <row r="5">
          <cell r="B5">
            <v>289481166.92000002</v>
          </cell>
        </row>
        <row r="19">
          <cell r="B19">
            <v>124</v>
          </cell>
        </row>
        <row r="20">
          <cell r="B20">
            <v>6899567.8700000001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Table"/>
    </sheetNames>
    <sheetDataSet>
      <sheetData sheetId="0">
        <row r="2162">
          <cell r="W2162">
            <v>57.534538760547086</v>
          </cell>
          <cell r="X2162">
            <v>17.647016927040287</v>
          </cell>
          <cell r="AA2162">
            <v>7.7546343396942881</v>
          </cell>
          <cell r="AI2162">
            <v>4.9438460713087315E-2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aining Term"/>
      <sheetName val="LVR Band"/>
      <sheetName val="Payment Frequency"/>
      <sheetName val="Yield"/>
      <sheetName val="Base Table"/>
    </sheetNames>
    <sheetDataSet>
      <sheetData sheetId="0">
        <row r="4">
          <cell r="A4" t="str">
            <v>0 - 12 months</v>
          </cell>
          <cell r="B4">
            <v>11510861.979999989</v>
          </cell>
        </row>
        <row r="5">
          <cell r="A5" t="str">
            <v>13 - 24 months</v>
          </cell>
          <cell r="B5">
            <v>46486126.589999989</v>
          </cell>
        </row>
        <row r="6">
          <cell r="A6" t="str">
            <v>25 - 36 months</v>
          </cell>
          <cell r="B6">
            <v>95521474.649999946</v>
          </cell>
        </row>
        <row r="7">
          <cell r="A7" t="str">
            <v>37 - 48 months</v>
          </cell>
          <cell r="B7">
            <v>31284481.749999989</v>
          </cell>
        </row>
      </sheetData>
      <sheetData sheetId="1">
        <row r="4">
          <cell r="A4" t="str">
            <v>&gt;100%</v>
          </cell>
          <cell r="B4">
            <v>18842.29</v>
          </cell>
        </row>
        <row r="5">
          <cell r="A5" t="str">
            <v>10% to 20%</v>
          </cell>
          <cell r="B5">
            <v>120975.67</v>
          </cell>
        </row>
        <row r="6">
          <cell r="A6" t="str">
            <v>21% to 30%</v>
          </cell>
          <cell r="B6">
            <v>1602445.7500000002</v>
          </cell>
        </row>
        <row r="7">
          <cell r="A7" t="str">
            <v>31% to 40%</v>
          </cell>
          <cell r="B7">
            <v>5848728.4999999972</v>
          </cell>
        </row>
        <row r="8">
          <cell r="A8" t="str">
            <v>41% to 50%</v>
          </cell>
          <cell r="B8">
            <v>13201194.840000004</v>
          </cell>
        </row>
        <row r="9">
          <cell r="A9" t="str">
            <v>51% to 60%</v>
          </cell>
          <cell r="B9">
            <v>20204977.919999998</v>
          </cell>
        </row>
        <row r="10">
          <cell r="A10" t="str">
            <v>61% to 70%</v>
          </cell>
          <cell r="B10">
            <v>23165599.929999996</v>
          </cell>
        </row>
        <row r="11">
          <cell r="A11" t="str">
            <v>71% to 80%</v>
          </cell>
          <cell r="B11">
            <v>25115352.569999967</v>
          </cell>
        </row>
        <row r="12">
          <cell r="A12" t="str">
            <v>81% to 90%</v>
          </cell>
          <cell r="B12">
            <v>34175464.660000019</v>
          </cell>
        </row>
        <row r="13">
          <cell r="A13" t="str">
            <v>91% to 100%</v>
          </cell>
          <cell r="B13">
            <v>61349362.840000004</v>
          </cell>
        </row>
      </sheetData>
      <sheetData sheetId="2">
        <row r="4">
          <cell r="A4" t="str">
            <v>6 Consecutive</v>
          </cell>
          <cell r="B4">
            <v>1234646.23</v>
          </cell>
        </row>
        <row r="5">
          <cell r="A5" t="str">
            <v>Annual</v>
          </cell>
          <cell r="B5">
            <v>125722337.61000001</v>
          </cell>
        </row>
        <row r="6">
          <cell r="A6" t="str">
            <v>Monthly</v>
          </cell>
          <cell r="B6">
            <v>38730047.940000005</v>
          </cell>
        </row>
        <row r="7">
          <cell r="A7" t="str">
            <v>Quarterly</v>
          </cell>
          <cell r="B7">
            <v>2410097.4400000004</v>
          </cell>
        </row>
        <row r="8">
          <cell r="A8" t="str">
            <v>Semi Annual</v>
          </cell>
          <cell r="B8">
            <v>14649424.110000001</v>
          </cell>
        </row>
        <row r="9">
          <cell r="A9" t="str">
            <v>Structured</v>
          </cell>
          <cell r="B9">
            <v>2056391.64</v>
          </cell>
        </row>
      </sheetData>
      <sheetData sheetId="3">
        <row r="4">
          <cell r="A4" t="str">
            <v>&lt; 4%</v>
          </cell>
          <cell r="B4">
            <v>363911.65</v>
          </cell>
        </row>
        <row r="5">
          <cell r="A5" t="str">
            <v>&gt; 12%</v>
          </cell>
          <cell r="B5">
            <v>4627365.4900000012</v>
          </cell>
        </row>
        <row r="6">
          <cell r="A6" t="str">
            <v>10.01% to 11%</v>
          </cell>
          <cell r="B6">
            <v>6959890.3399999989</v>
          </cell>
        </row>
        <row r="7">
          <cell r="A7" t="str">
            <v>11.01% to 12%</v>
          </cell>
          <cell r="B7">
            <v>5049391.8599999985</v>
          </cell>
        </row>
        <row r="8">
          <cell r="A8" t="str">
            <v>4.01% to 5%</v>
          </cell>
          <cell r="B8">
            <v>2970410.459999999</v>
          </cell>
        </row>
        <row r="9">
          <cell r="A9" t="str">
            <v>5.01% to 6%</v>
          </cell>
          <cell r="B9">
            <v>19420276.429999996</v>
          </cell>
        </row>
        <row r="10">
          <cell r="A10" t="str">
            <v>6.01% to 7%</v>
          </cell>
          <cell r="B10">
            <v>48832485.140000023</v>
          </cell>
        </row>
        <row r="11">
          <cell r="A11" t="str">
            <v>7.01% to 8%</v>
          </cell>
          <cell r="B11">
            <v>49847703.80999995</v>
          </cell>
        </row>
        <row r="12">
          <cell r="A12" t="str">
            <v>8.01% to 9%</v>
          </cell>
          <cell r="B12">
            <v>31717340.690000013</v>
          </cell>
        </row>
        <row r="13">
          <cell r="A13" t="str">
            <v>9.01% to 10%</v>
          </cell>
          <cell r="B13">
            <v>15014169.1</v>
          </cell>
        </row>
      </sheetData>
      <sheetData sheetId="4">
        <row r="3027">
          <cell r="BY3027">
            <v>7.7504085809922953</v>
          </cell>
          <cell r="BZ3027">
            <v>56.282418712312719</v>
          </cell>
          <cell r="CA3027">
            <v>27.47823493745911</v>
          </cell>
          <cell r="CB3027">
            <v>4.1902289662811593E-2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graphic"/>
      <sheetName val="Maturity"/>
      <sheetName val="Seasoning"/>
      <sheetName val="LVR"/>
      <sheetName val="Type"/>
      <sheetName val="Remaining Term"/>
      <sheetName val="Yield"/>
      <sheetName val="Obligor"/>
      <sheetName val="Frequency"/>
      <sheetName val="Source"/>
      <sheetName val="Base Table"/>
    </sheetNames>
    <sheetDataSet>
      <sheetData sheetId="0">
        <row r="5">
          <cell r="A5" t="str">
            <v>ACT</v>
          </cell>
          <cell r="B5">
            <v>275488.13999999996</v>
          </cell>
        </row>
        <row r="6">
          <cell r="A6" t="str">
            <v>NSW</v>
          </cell>
          <cell r="B6">
            <v>69905482.170000032</v>
          </cell>
        </row>
        <row r="7">
          <cell r="A7" t="str">
            <v>NT</v>
          </cell>
          <cell r="B7">
            <v>108173.72</v>
          </cell>
        </row>
        <row r="8">
          <cell r="A8" t="str">
            <v>QLD</v>
          </cell>
          <cell r="B8">
            <v>24434435.579999987</v>
          </cell>
        </row>
        <row r="9">
          <cell r="A9" t="str">
            <v>SA</v>
          </cell>
          <cell r="B9">
            <v>37741507.400000028</v>
          </cell>
        </row>
        <row r="10">
          <cell r="A10" t="str">
            <v>TAS</v>
          </cell>
          <cell r="B10">
            <v>2050598.2300000002</v>
          </cell>
        </row>
        <row r="11">
          <cell r="A11" t="str">
            <v>VIC</v>
          </cell>
          <cell r="B11">
            <v>45888088.499999955</v>
          </cell>
        </row>
        <row r="12">
          <cell r="A12" t="str">
            <v>WA</v>
          </cell>
          <cell r="B12">
            <v>33112762.500000019</v>
          </cell>
        </row>
      </sheetData>
      <sheetData sheetId="1">
        <row r="5">
          <cell r="A5" t="str">
            <v>Q22012</v>
          </cell>
          <cell r="B5">
            <v>11855.71</v>
          </cell>
        </row>
        <row r="6">
          <cell r="A6" t="str">
            <v>Q42012</v>
          </cell>
          <cell r="B6">
            <v>175936.8</v>
          </cell>
        </row>
        <row r="7">
          <cell r="A7" t="str">
            <v>Q12013</v>
          </cell>
          <cell r="B7">
            <v>4150923.19</v>
          </cell>
        </row>
        <row r="8">
          <cell r="A8" t="str">
            <v>Q22013</v>
          </cell>
          <cell r="B8">
            <v>3179596.1800000011</v>
          </cell>
        </row>
        <row r="9">
          <cell r="A9" t="str">
            <v>Q32013</v>
          </cell>
          <cell r="B9">
            <v>2057861.1699999995</v>
          </cell>
        </row>
        <row r="10">
          <cell r="A10" t="str">
            <v>Q42013</v>
          </cell>
          <cell r="B10">
            <v>2221704.9699999993</v>
          </cell>
        </row>
        <row r="11">
          <cell r="A11" t="str">
            <v>Q12014</v>
          </cell>
          <cell r="B11">
            <v>10057817.720000004</v>
          </cell>
        </row>
        <row r="12">
          <cell r="A12" t="str">
            <v>Q22014</v>
          </cell>
          <cell r="B12">
            <v>8828236.2700000014</v>
          </cell>
        </row>
        <row r="13">
          <cell r="A13" t="str">
            <v>Q32014</v>
          </cell>
          <cell r="B13">
            <v>5184651.1300000008</v>
          </cell>
        </row>
        <row r="14">
          <cell r="A14" t="str">
            <v>Q42014</v>
          </cell>
          <cell r="B14">
            <v>7173650.4999999963</v>
          </cell>
        </row>
        <row r="15">
          <cell r="A15" t="str">
            <v>Q12015</v>
          </cell>
          <cell r="B15">
            <v>50699282.270000041</v>
          </cell>
        </row>
        <row r="16">
          <cell r="A16" t="str">
            <v>Q22015</v>
          </cell>
          <cell r="B16">
            <v>28739224.239999998</v>
          </cell>
        </row>
        <row r="17">
          <cell r="A17" t="str">
            <v>Q32015</v>
          </cell>
          <cell r="B17">
            <v>15789559.659999995</v>
          </cell>
        </row>
        <row r="18">
          <cell r="A18" t="str">
            <v>Q42015</v>
          </cell>
          <cell r="B18">
            <v>20558302.03999998</v>
          </cell>
        </row>
        <row r="19">
          <cell r="A19" t="str">
            <v>Q12016</v>
          </cell>
          <cell r="B19">
            <v>33504755.779999994</v>
          </cell>
        </row>
        <row r="20">
          <cell r="A20" t="str">
            <v>Q22016</v>
          </cell>
          <cell r="B20">
            <v>21126733.740000002</v>
          </cell>
        </row>
        <row r="21">
          <cell r="A21" t="str">
            <v>Q32016</v>
          </cell>
          <cell r="B21">
            <v>56444.87</v>
          </cell>
        </row>
      </sheetData>
      <sheetData sheetId="2">
        <row r="5">
          <cell r="A5" t="str">
            <v>13 to 18 months</v>
          </cell>
          <cell r="B5">
            <v>13329309.610000005</v>
          </cell>
        </row>
        <row r="6">
          <cell r="A6" t="str">
            <v>19 to 24 months</v>
          </cell>
          <cell r="B6">
            <v>68677577.960000023</v>
          </cell>
        </row>
        <row r="7">
          <cell r="A7" t="str">
            <v>25 to 30 months</v>
          </cell>
          <cell r="B7">
            <v>83130099.920000002</v>
          </cell>
        </row>
        <row r="8">
          <cell r="A8" t="str">
            <v>31 to 36 months</v>
          </cell>
          <cell r="B8">
            <v>31005516.169999998</v>
          </cell>
        </row>
        <row r="9">
          <cell r="A9" t="str">
            <v>37 to 42 months</v>
          </cell>
          <cell r="B9">
            <v>11062784.439999996</v>
          </cell>
        </row>
        <row r="10">
          <cell r="A10" t="str">
            <v>43 to 48 months</v>
          </cell>
          <cell r="B10">
            <v>2137724.7800000003</v>
          </cell>
        </row>
        <row r="11">
          <cell r="A11" t="str">
            <v>49 to 54 months</v>
          </cell>
          <cell r="B11">
            <v>1087927.68</v>
          </cell>
        </row>
        <row r="12">
          <cell r="A12" t="str">
            <v>55 to 60 months</v>
          </cell>
          <cell r="B12">
            <v>1454045.8699999994</v>
          </cell>
        </row>
        <row r="13">
          <cell r="A13" t="str">
            <v>60+ months</v>
          </cell>
          <cell r="B13">
            <v>1631549.8100000005</v>
          </cell>
        </row>
      </sheetData>
      <sheetData sheetId="3">
        <row r="5">
          <cell r="A5" t="str">
            <v>10% to 20%</v>
          </cell>
          <cell r="B5">
            <v>180999.28</v>
          </cell>
        </row>
        <row r="6">
          <cell r="A6" t="str">
            <v>21% to 30%</v>
          </cell>
          <cell r="B6">
            <v>1958156.29</v>
          </cell>
        </row>
        <row r="7">
          <cell r="A7" t="str">
            <v>31% to 40%</v>
          </cell>
          <cell r="B7">
            <v>7701357.3999999985</v>
          </cell>
        </row>
        <row r="8">
          <cell r="A8" t="str">
            <v>41% to 50%</v>
          </cell>
          <cell r="B8">
            <v>15886778.670000009</v>
          </cell>
        </row>
        <row r="9">
          <cell r="A9" t="str">
            <v>51% to 60%</v>
          </cell>
          <cell r="B9">
            <v>23887291.190000016</v>
          </cell>
        </row>
        <row r="10">
          <cell r="A10" t="str">
            <v>61% to 70%</v>
          </cell>
          <cell r="B10">
            <v>27115194.609999977</v>
          </cell>
        </row>
        <row r="11">
          <cell r="A11" t="str">
            <v>71% to 80%</v>
          </cell>
          <cell r="B11">
            <v>28995065.020000007</v>
          </cell>
        </row>
        <row r="12">
          <cell r="A12" t="str">
            <v>81% to 90%</v>
          </cell>
          <cell r="B12">
            <v>38533277.480000041</v>
          </cell>
        </row>
        <row r="13">
          <cell r="A13" t="str">
            <v>91% to 100%</v>
          </cell>
          <cell r="B13">
            <v>65996371.629999973</v>
          </cell>
        </row>
      </sheetData>
      <sheetData sheetId="4">
        <row r="4">
          <cell r="A4" t="str">
            <v>Finance Lease</v>
          </cell>
          <cell r="B4">
            <v>2619281.42</v>
          </cell>
        </row>
        <row r="5">
          <cell r="A5" t="str">
            <v>Goods Mortgage</v>
          </cell>
          <cell r="B5">
            <v>206637698.77999982</v>
          </cell>
        </row>
        <row r="6">
          <cell r="A6" t="str">
            <v>Hire Purchase</v>
          </cell>
          <cell r="B6">
            <v>4259556.0399999991</v>
          </cell>
        </row>
      </sheetData>
      <sheetData sheetId="5">
        <row r="4">
          <cell r="A4" t="str">
            <v>0 - 12 months</v>
          </cell>
          <cell r="B4">
            <v>11366745.310000004</v>
          </cell>
        </row>
        <row r="5">
          <cell r="A5" t="str">
            <v>13 - 24 months</v>
          </cell>
          <cell r="B5">
            <v>30080100.709999979</v>
          </cell>
        </row>
        <row r="6">
          <cell r="A6" t="str">
            <v>25 - 36 months</v>
          </cell>
          <cell r="B6">
            <v>111531263.94999993</v>
          </cell>
        </row>
        <row r="7">
          <cell r="A7" t="str">
            <v>37 - 48 months</v>
          </cell>
          <cell r="B7">
            <v>60538426.270000003</v>
          </cell>
        </row>
      </sheetData>
      <sheetData sheetId="6">
        <row r="4">
          <cell r="A4" t="str">
            <v>&lt; 4%</v>
          </cell>
          <cell r="B4">
            <v>470124.81</v>
          </cell>
        </row>
        <row r="5">
          <cell r="A5" t="str">
            <v>&gt; 12%</v>
          </cell>
          <cell r="B5">
            <v>5274214.8699999992</v>
          </cell>
        </row>
        <row r="6">
          <cell r="A6" t="str">
            <v>10.01% to 11%</v>
          </cell>
          <cell r="B6">
            <v>8003378.5899999971</v>
          </cell>
        </row>
        <row r="7">
          <cell r="A7" t="str">
            <v>11.01% to 12%</v>
          </cell>
          <cell r="B7">
            <v>5440481.4700000016</v>
          </cell>
        </row>
        <row r="8">
          <cell r="A8" t="str">
            <v>4.01% to 5%</v>
          </cell>
          <cell r="B8">
            <v>3571262.3399999985</v>
          </cell>
        </row>
        <row r="9">
          <cell r="A9" t="str">
            <v>5.01% to 6%</v>
          </cell>
          <cell r="B9">
            <v>23759352.160000008</v>
          </cell>
        </row>
        <row r="10">
          <cell r="A10" t="str">
            <v>6.01% to 7%</v>
          </cell>
          <cell r="B10">
            <v>57521069.660000071</v>
          </cell>
        </row>
        <row r="11">
          <cell r="A11" t="str">
            <v>7.01% to 8%</v>
          </cell>
          <cell r="B11">
            <v>56705877.870000005</v>
          </cell>
        </row>
        <row r="12">
          <cell r="A12" t="str">
            <v>8.01% to 9%</v>
          </cell>
          <cell r="B12">
            <v>35278082.830000028</v>
          </cell>
        </row>
        <row r="13">
          <cell r="A13" t="str">
            <v>9.01% to 10%</v>
          </cell>
          <cell r="B13">
            <v>17492691.639999989</v>
          </cell>
        </row>
      </sheetData>
      <sheetData sheetId="7">
        <row r="8">
          <cell r="C8">
            <v>4153526.13</v>
          </cell>
        </row>
      </sheetData>
      <sheetData sheetId="8">
        <row r="4">
          <cell r="A4" t="str">
            <v>6 Consecutive</v>
          </cell>
          <cell r="B4">
            <v>1450516.45</v>
          </cell>
        </row>
        <row r="5">
          <cell r="A5" t="str">
            <v>Annual</v>
          </cell>
          <cell r="B5">
            <v>146914616.18999985</v>
          </cell>
        </row>
        <row r="6">
          <cell r="A6" t="str">
            <v>Monthly</v>
          </cell>
          <cell r="B6">
            <v>43817320.459999993</v>
          </cell>
        </row>
        <row r="7">
          <cell r="A7" t="str">
            <v>Quarterly</v>
          </cell>
          <cell r="B7">
            <v>2692083.1400000006</v>
          </cell>
        </row>
        <row r="8">
          <cell r="A8" t="str">
            <v>Semi Annual</v>
          </cell>
          <cell r="B8">
            <v>16281935.039999997</v>
          </cell>
        </row>
        <row r="9">
          <cell r="A9" t="str">
            <v>Structured</v>
          </cell>
          <cell r="B9">
            <v>2360064.9600000004</v>
          </cell>
        </row>
      </sheetData>
      <sheetData sheetId="9">
        <row r="4">
          <cell r="A4" t="str">
            <v>Ag Sales and Rental</v>
          </cell>
          <cell r="B4">
            <v>987150.03999999992</v>
          </cell>
        </row>
        <row r="5">
          <cell r="A5" t="str">
            <v>Agnorth</v>
          </cell>
          <cell r="B5">
            <v>580097.14</v>
          </cell>
        </row>
        <row r="6">
          <cell r="A6" t="str">
            <v>Agpower &amp; Transport</v>
          </cell>
          <cell r="B6">
            <v>70840.83</v>
          </cell>
        </row>
        <row r="7">
          <cell r="A7" t="str">
            <v>Agricultural Requirements</v>
          </cell>
          <cell r="B7">
            <v>389249.5400000001</v>
          </cell>
        </row>
        <row r="8">
          <cell r="A8" t="str">
            <v>Agrimac Ballarat</v>
          </cell>
          <cell r="B8">
            <v>2976509.9599999995</v>
          </cell>
        </row>
        <row r="9">
          <cell r="A9" t="str">
            <v>Agrimac Warrnambool</v>
          </cell>
          <cell r="B9">
            <v>1548631.44</v>
          </cell>
        </row>
        <row r="10">
          <cell r="A10" t="str">
            <v>Agserv Industries - Kadina</v>
          </cell>
          <cell r="B10">
            <v>1980548.56</v>
          </cell>
        </row>
        <row r="11">
          <cell r="A11" t="str">
            <v>Ainsworth Motors - Chinchilla</v>
          </cell>
          <cell r="B11">
            <v>552383.96000000008</v>
          </cell>
        </row>
        <row r="12">
          <cell r="A12" t="str">
            <v>Alto Motors - Trafalgar</v>
          </cell>
          <cell r="B12">
            <v>455074.92999999993</v>
          </cell>
        </row>
        <row r="13">
          <cell r="A13" t="str">
            <v>Aurisch &amp; Johnson (ardmore) Pl</v>
          </cell>
          <cell r="B13">
            <v>65459.23</v>
          </cell>
        </row>
        <row r="14">
          <cell r="A14" t="str">
            <v>AW Vater &amp; Co</v>
          </cell>
          <cell r="B14">
            <v>1714329.0599999998</v>
          </cell>
        </row>
        <row r="15">
          <cell r="A15" t="str">
            <v>Ballarat Tractors &amp; Cons Equip</v>
          </cell>
          <cell r="B15">
            <v>1119650.43</v>
          </cell>
        </row>
        <row r="16">
          <cell r="A16" t="str">
            <v>Barberie Machinery (CIH)</v>
          </cell>
          <cell r="B16">
            <v>83519.299999999988</v>
          </cell>
        </row>
        <row r="17">
          <cell r="A17" t="str">
            <v>Barberie Machinery (NH)</v>
          </cell>
          <cell r="B17">
            <v>13606.23</v>
          </cell>
        </row>
        <row r="18">
          <cell r="A18" t="str">
            <v>Barossa Machinery Services</v>
          </cell>
          <cell r="B18">
            <v>73070.429999999993</v>
          </cell>
        </row>
        <row r="19">
          <cell r="A19" t="str">
            <v>Baxters Rural Centre</v>
          </cell>
          <cell r="B19">
            <v>539408.22</v>
          </cell>
        </row>
        <row r="20">
          <cell r="A20" t="str">
            <v>BFG - AG &amp; CE</v>
          </cell>
          <cell r="B20">
            <v>3674325.3800000004</v>
          </cell>
        </row>
        <row r="21">
          <cell r="A21" t="str">
            <v>BFG - Transport</v>
          </cell>
          <cell r="B21">
            <v>76484.89</v>
          </cell>
        </row>
        <row r="22">
          <cell r="A22" t="str">
            <v>Billabong Motors - Lockhart</v>
          </cell>
          <cell r="B22">
            <v>917566.45000000007</v>
          </cell>
        </row>
        <row r="23">
          <cell r="A23" t="str">
            <v>Black Truck &amp; AG Moree</v>
          </cell>
          <cell r="B23">
            <v>154789.95000000001</v>
          </cell>
        </row>
        <row r="24">
          <cell r="A24" t="str">
            <v>Black-Trac Archerfield</v>
          </cell>
          <cell r="B24">
            <v>134464.32000000001</v>
          </cell>
        </row>
        <row r="25">
          <cell r="A25" t="str">
            <v>Black-Trac Caboolture</v>
          </cell>
          <cell r="B25">
            <v>164179.47999999998</v>
          </cell>
        </row>
        <row r="26">
          <cell r="A26" t="str">
            <v>Black-Trac Rocklea</v>
          </cell>
          <cell r="B26">
            <v>23971.85</v>
          </cell>
        </row>
        <row r="27">
          <cell r="A27" t="str">
            <v>BMS Adelaide</v>
          </cell>
          <cell r="B27">
            <v>70411.33</v>
          </cell>
        </row>
        <row r="28">
          <cell r="A28" t="str">
            <v>BMS AG &amp; Construction - Tanunda</v>
          </cell>
          <cell r="B28">
            <v>555897.11</v>
          </cell>
        </row>
        <row r="29">
          <cell r="A29" t="str">
            <v>Boekeman Machinery (Dalwallinu)</v>
          </cell>
          <cell r="B29">
            <v>1965433.0999999999</v>
          </cell>
        </row>
        <row r="30">
          <cell r="A30" t="str">
            <v>Boekeman Machinery (Dowerin)</v>
          </cell>
          <cell r="B30">
            <v>235374.46</v>
          </cell>
        </row>
        <row r="31">
          <cell r="A31" t="str">
            <v>Boekeman Machinery (group)</v>
          </cell>
          <cell r="B31">
            <v>277691.99</v>
          </cell>
        </row>
        <row r="32">
          <cell r="A32" t="str">
            <v>Boekeman Machinery (Northam)</v>
          </cell>
          <cell r="B32">
            <v>879270.18000000017</v>
          </cell>
        </row>
        <row r="33">
          <cell r="A33" t="str">
            <v>Boekeman Machinery (Wongan Hills)</v>
          </cell>
          <cell r="B33">
            <v>576122.6399999999</v>
          </cell>
        </row>
        <row r="34">
          <cell r="A34" t="str">
            <v>Brescianini Motors - Ingham</v>
          </cell>
          <cell r="B34">
            <v>1036987.74</v>
          </cell>
        </row>
        <row r="35">
          <cell r="A35" t="str">
            <v>Burnett Land &amp; Mach-Bundaberg</v>
          </cell>
          <cell r="B35">
            <v>423748.27</v>
          </cell>
        </row>
        <row r="36">
          <cell r="A36" t="str">
            <v>Busselton Mach - Busselton</v>
          </cell>
          <cell r="B36">
            <v>76126.14</v>
          </cell>
        </row>
        <row r="37">
          <cell r="A37" t="str">
            <v>Carlisle Tractors - Mackay</v>
          </cell>
          <cell r="B37">
            <v>1255714.0599999998</v>
          </cell>
        </row>
        <row r="38">
          <cell r="A38" t="str">
            <v>Carruthers Machinery</v>
          </cell>
          <cell r="B38">
            <v>3074427.13</v>
          </cell>
        </row>
        <row r="39">
          <cell r="A39" t="str">
            <v>Carruthers Machinery Cowra</v>
          </cell>
          <cell r="B39">
            <v>1489881.5600000003</v>
          </cell>
        </row>
        <row r="40">
          <cell r="A40" t="str">
            <v>Case Victoria</v>
          </cell>
          <cell r="B40">
            <v>154978.92000000001</v>
          </cell>
        </row>
        <row r="41">
          <cell r="A41" t="str">
            <v>Chapman &amp; Slattery Mach Sales</v>
          </cell>
          <cell r="B41">
            <v>57725.83</v>
          </cell>
        </row>
        <row r="42">
          <cell r="A42" t="str">
            <v>Cobram Rural</v>
          </cell>
          <cell r="B42">
            <v>288372.03999999998</v>
          </cell>
        </row>
        <row r="43">
          <cell r="A43" t="str">
            <v>Codemo Machinery Services</v>
          </cell>
          <cell r="B43">
            <v>2264606.4399999995</v>
          </cell>
        </row>
        <row r="44">
          <cell r="A44" t="str">
            <v>Coote Motors - Brookton</v>
          </cell>
          <cell r="B44">
            <v>191885.98</v>
          </cell>
        </row>
        <row r="45">
          <cell r="A45" t="str">
            <v>Cornish's (Condobolin)</v>
          </cell>
          <cell r="B45">
            <v>2096881.7000000004</v>
          </cell>
        </row>
        <row r="46">
          <cell r="A46" t="str">
            <v>Cornish's (group)</v>
          </cell>
          <cell r="B46">
            <v>549223.98</v>
          </cell>
        </row>
        <row r="47">
          <cell r="A47" t="str">
            <v>Cornish's (Gunnedah)</v>
          </cell>
          <cell r="B47">
            <v>1649173.1600000001</v>
          </cell>
        </row>
        <row r="48">
          <cell r="A48" t="str">
            <v>Cornish's (Narromine)</v>
          </cell>
          <cell r="B48">
            <v>2138554.8400000003</v>
          </cell>
        </row>
        <row r="49">
          <cell r="A49" t="str">
            <v>Cornish's (Parkes)</v>
          </cell>
          <cell r="B49">
            <v>282359.15999999997</v>
          </cell>
        </row>
        <row r="50">
          <cell r="A50" t="str">
            <v>Cornish's T/as Millers Mach</v>
          </cell>
          <cell r="B50">
            <v>447658.32</v>
          </cell>
        </row>
        <row r="51">
          <cell r="A51" t="str">
            <v>Cowra Machinery Centre</v>
          </cell>
          <cell r="B51">
            <v>879031.08999999973</v>
          </cell>
        </row>
        <row r="52">
          <cell r="A52" t="str">
            <v>Crossbred Nom T/ Geoff Perkins</v>
          </cell>
          <cell r="B52">
            <v>559054.2699999999</v>
          </cell>
        </row>
        <row r="53">
          <cell r="A53" t="str">
            <v>CSA Capital</v>
          </cell>
          <cell r="B53">
            <v>102310.14</v>
          </cell>
        </row>
        <row r="54">
          <cell r="A54" t="str">
            <v>Cunninghams Ag - Moora</v>
          </cell>
          <cell r="B54">
            <v>420825.25</v>
          </cell>
        </row>
        <row r="55">
          <cell r="A55" t="str">
            <v>Cunninghams Ag Three Springs</v>
          </cell>
          <cell r="B55">
            <v>1291857.6099999999</v>
          </cell>
        </row>
        <row r="56">
          <cell r="A56" t="str">
            <v>Curtis's - Cummins</v>
          </cell>
          <cell r="B56">
            <v>1367412.55</v>
          </cell>
        </row>
        <row r="57">
          <cell r="A57" t="str">
            <v>Curtis's - Tumby Bay</v>
          </cell>
          <cell r="B57">
            <v>739551.08000000007</v>
          </cell>
        </row>
        <row r="58">
          <cell r="A58" t="str">
            <v>David Evans Group - Biloela (NH)</v>
          </cell>
          <cell r="B58">
            <v>177822.42000000004</v>
          </cell>
        </row>
        <row r="59">
          <cell r="A59" t="str">
            <v>David Evans Group - Biloela CIH</v>
          </cell>
          <cell r="B59">
            <v>95483.01</v>
          </cell>
        </row>
        <row r="60">
          <cell r="A60" t="str">
            <v>David Evans Group - Boonah</v>
          </cell>
          <cell r="B60">
            <v>164892.78</v>
          </cell>
        </row>
        <row r="61">
          <cell r="A61" t="str">
            <v>David Evans Group - Gatton</v>
          </cell>
          <cell r="B61">
            <v>221607.63999999998</v>
          </cell>
        </row>
        <row r="62">
          <cell r="A62" t="str">
            <v>David Evans Group - Millmerran</v>
          </cell>
          <cell r="B62">
            <v>165573.09999999998</v>
          </cell>
        </row>
        <row r="63">
          <cell r="A63" t="str">
            <v>David Evans Group - Mundubbera</v>
          </cell>
          <cell r="B63">
            <v>7002.27</v>
          </cell>
        </row>
        <row r="64">
          <cell r="A64" t="str">
            <v>David Evans Group - Toowoomba</v>
          </cell>
          <cell r="B64">
            <v>214321</v>
          </cell>
        </row>
        <row r="65">
          <cell r="A65" t="str">
            <v>David Evans Group - Warwick</v>
          </cell>
          <cell r="B65">
            <v>297901.20999999996</v>
          </cell>
        </row>
        <row r="66">
          <cell r="A66" t="str">
            <v>Days Machinery - Casino</v>
          </cell>
          <cell r="B66">
            <v>177968.39</v>
          </cell>
        </row>
        <row r="67">
          <cell r="A67" t="str">
            <v>De Rosa's Highway Motors</v>
          </cell>
          <cell r="B67">
            <v>186106.71000000002</v>
          </cell>
        </row>
        <row r="68">
          <cell r="A68" t="str">
            <v>Direct - CC Internal Sales</v>
          </cell>
          <cell r="B68">
            <v>1490616.1400000001</v>
          </cell>
        </row>
        <row r="69">
          <cell r="A69" t="str">
            <v>Direct - CC New South Wales</v>
          </cell>
          <cell r="B69">
            <v>112778.77</v>
          </cell>
        </row>
        <row r="70">
          <cell r="A70" t="str">
            <v>Direct - CC Queensland</v>
          </cell>
          <cell r="B70">
            <v>603789.56999999995</v>
          </cell>
        </row>
        <row r="71">
          <cell r="A71" t="str">
            <v>Direct - CC Tri States</v>
          </cell>
          <cell r="B71">
            <v>388432.32</v>
          </cell>
        </row>
        <row r="72">
          <cell r="A72" t="str">
            <v>Direct - NHF Internal Sales</v>
          </cell>
          <cell r="B72">
            <v>733147.1</v>
          </cell>
        </row>
        <row r="73">
          <cell r="A73" t="str">
            <v>Direct - NHF New South Wales</v>
          </cell>
          <cell r="B73">
            <v>238211.38999999996</v>
          </cell>
        </row>
        <row r="74">
          <cell r="A74" t="str">
            <v>Direct - NHF Queensland</v>
          </cell>
          <cell r="B74">
            <v>119659.81999999999</v>
          </cell>
        </row>
        <row r="75">
          <cell r="A75" t="str">
            <v>Direct - NHF Tri States</v>
          </cell>
          <cell r="B75">
            <v>310896.90000000002</v>
          </cell>
        </row>
        <row r="76">
          <cell r="A76" t="str">
            <v>Direct - Western Australia</v>
          </cell>
          <cell r="B76">
            <v>207144.02999999997</v>
          </cell>
        </row>
        <row r="77">
          <cell r="A77" t="str">
            <v>DJ Grech</v>
          </cell>
          <cell r="B77">
            <v>133895.32</v>
          </cell>
        </row>
        <row r="78">
          <cell r="A78" t="str">
            <v>Dover &amp; Sons - Beaudesert</v>
          </cell>
          <cell r="B78">
            <v>95279.13</v>
          </cell>
        </row>
        <row r="79">
          <cell r="A79" t="str">
            <v>Dover &amp; Sons - Boonah</v>
          </cell>
          <cell r="B79">
            <v>137996.88</v>
          </cell>
        </row>
        <row r="80">
          <cell r="A80" t="str">
            <v>Duncan &amp; Duncan - Walgett</v>
          </cell>
          <cell r="B80">
            <v>528074.88</v>
          </cell>
        </row>
        <row r="81">
          <cell r="A81" t="str">
            <v>Dunlop &amp; Isbel - St Arnaud</v>
          </cell>
          <cell r="B81">
            <v>439233.03</v>
          </cell>
        </row>
        <row r="82">
          <cell r="A82" t="str">
            <v>Echuca CIH - Echuca</v>
          </cell>
          <cell r="B82">
            <v>2188589.7400000002</v>
          </cell>
        </row>
        <row r="83">
          <cell r="A83" t="str">
            <v>Echuca Rural (Echuca)</v>
          </cell>
          <cell r="B83">
            <v>1209903.7500000002</v>
          </cell>
        </row>
        <row r="84">
          <cell r="A84" t="str">
            <v>Errol Matschoss - Waikerie</v>
          </cell>
          <cell r="B84">
            <v>339797.92</v>
          </cell>
        </row>
        <row r="85">
          <cell r="A85" t="str">
            <v>Farm Machinery Tasmania</v>
          </cell>
          <cell r="B85">
            <v>599128.63</v>
          </cell>
        </row>
        <row r="86">
          <cell r="A86" t="str">
            <v>Farmers Centre (1978) - Albany</v>
          </cell>
          <cell r="B86">
            <v>1316722.6199999999</v>
          </cell>
        </row>
        <row r="87">
          <cell r="A87" t="str">
            <v>Farmers Centre (1978) - Dumbleyung</v>
          </cell>
          <cell r="B87">
            <v>104884.62</v>
          </cell>
        </row>
        <row r="88">
          <cell r="A88" t="str">
            <v>Farmers Centre (1978) - Katanning</v>
          </cell>
          <cell r="B88">
            <v>810549.33</v>
          </cell>
        </row>
        <row r="89">
          <cell r="A89" t="str">
            <v>Farmers Centre (1978) - Lake Grace</v>
          </cell>
          <cell r="B89">
            <v>148938.22</v>
          </cell>
        </row>
        <row r="90">
          <cell r="A90" t="str">
            <v>Farmers Centre (Narrogin)</v>
          </cell>
          <cell r="B90">
            <v>356540.69999999995</v>
          </cell>
        </row>
        <row r="91">
          <cell r="A91" t="str">
            <v>Farmers Centre (WA) - Esperance</v>
          </cell>
          <cell r="B91">
            <v>1323399.4700000002</v>
          </cell>
        </row>
        <row r="92">
          <cell r="A92" t="str">
            <v>Farmers Centre (WA) - Ravensthorpe</v>
          </cell>
          <cell r="B92">
            <v>890823.42999999993</v>
          </cell>
        </row>
        <row r="93">
          <cell r="A93" t="str">
            <v>Farmpower - Kulin</v>
          </cell>
          <cell r="B93">
            <v>333915.35000000003</v>
          </cell>
        </row>
        <row r="94">
          <cell r="A94" t="str">
            <v>Farmpower - Quairading</v>
          </cell>
          <cell r="B94">
            <v>796413.61999999988</v>
          </cell>
        </row>
        <row r="95">
          <cell r="A95" t="str">
            <v>Fentons Farm Machinery</v>
          </cell>
          <cell r="B95">
            <v>15012</v>
          </cell>
        </row>
        <row r="96">
          <cell r="A96" t="str">
            <v>Five Star Enterprises (Moree)</v>
          </cell>
          <cell r="B96">
            <v>170672.88</v>
          </cell>
        </row>
        <row r="97">
          <cell r="A97" t="str">
            <v>Flinders Machinery</v>
          </cell>
          <cell r="B97">
            <v>1344972.31</v>
          </cell>
        </row>
        <row r="98">
          <cell r="A98" t="str">
            <v>Forbes Machinery</v>
          </cell>
          <cell r="B98">
            <v>1270316.4200000004</v>
          </cell>
        </row>
        <row r="99">
          <cell r="A99" t="str">
            <v>Fox Finance &amp; Leasing</v>
          </cell>
          <cell r="B99">
            <v>171151.31</v>
          </cell>
        </row>
        <row r="100">
          <cell r="A100" t="str">
            <v>Gaffney (machinery) - Somerset</v>
          </cell>
          <cell r="B100">
            <v>815782.1799999997</v>
          </cell>
        </row>
        <row r="101">
          <cell r="A101" t="str">
            <v>GBC Motors - Mildura</v>
          </cell>
          <cell r="B101">
            <v>2395069.0699999998</v>
          </cell>
        </row>
        <row r="102">
          <cell r="A102" t="str">
            <v>Gendore Tractors &amp; Mach. 3980</v>
          </cell>
          <cell r="B102">
            <v>8844.7900000000009</v>
          </cell>
        </row>
        <row r="103">
          <cell r="A103" t="str">
            <v>Gendore Tractors &amp; Mach. LGTHA</v>
          </cell>
          <cell r="B103">
            <v>677853.88</v>
          </cell>
        </row>
        <row r="104">
          <cell r="A104" t="str">
            <v>Geronimo Farm Equipment Walgett</v>
          </cell>
          <cell r="B104">
            <v>2626160.54</v>
          </cell>
        </row>
        <row r="105">
          <cell r="A105" t="str">
            <v>Gino Favaro &amp; Son</v>
          </cell>
          <cell r="B105">
            <v>56654.810000000005</v>
          </cell>
        </row>
        <row r="106">
          <cell r="A106" t="str">
            <v>Godings Welding - Whittlesea</v>
          </cell>
          <cell r="B106">
            <v>85627.63</v>
          </cell>
        </row>
        <row r="107">
          <cell r="A107" t="str">
            <v>Goodwin Kenny - Gunnedah</v>
          </cell>
          <cell r="B107">
            <v>705846.35999999987</v>
          </cell>
        </row>
        <row r="108">
          <cell r="A108" t="str">
            <v>Goodwin Kenny - Tamworth</v>
          </cell>
          <cell r="B108">
            <v>267180.73000000004</v>
          </cell>
        </row>
        <row r="109">
          <cell r="A109" t="str">
            <v>Great Southern Motors Albury</v>
          </cell>
          <cell r="B109">
            <v>98786.38</v>
          </cell>
        </row>
        <row r="110">
          <cell r="A110" t="str">
            <v>Great Southern Motors -Wagga</v>
          </cell>
          <cell r="B110">
            <v>1615210.7700000003</v>
          </cell>
        </row>
        <row r="111">
          <cell r="A111" t="str">
            <v>Hage Tractors - Naracoorte</v>
          </cell>
          <cell r="B111">
            <v>1205388.45</v>
          </cell>
        </row>
        <row r="112">
          <cell r="A112" t="str">
            <v>Hartwigs - Lavington</v>
          </cell>
          <cell r="B112">
            <v>989158.57</v>
          </cell>
        </row>
        <row r="113">
          <cell r="A113" t="str">
            <v>Hartwigs - Wagga</v>
          </cell>
          <cell r="B113">
            <v>1551437.4899999998</v>
          </cell>
        </row>
        <row r="114">
          <cell r="A114" t="str">
            <v>Hartwigs Griffith</v>
          </cell>
          <cell r="B114">
            <v>1987502.3399999999</v>
          </cell>
        </row>
        <row r="115">
          <cell r="A115" t="str">
            <v>Horsham T &amp; I Centre (NH)</v>
          </cell>
          <cell r="B115">
            <v>22955.03</v>
          </cell>
        </row>
        <row r="116">
          <cell r="A116" t="str">
            <v>Hutton &amp; Northey - Corrigin</v>
          </cell>
          <cell r="B116">
            <v>582622.86</v>
          </cell>
        </row>
        <row r="117">
          <cell r="A117" t="str">
            <v>Hutton &amp; Northey - Cunderdin (CIH)</v>
          </cell>
          <cell r="B117">
            <v>263237.31</v>
          </cell>
        </row>
        <row r="118">
          <cell r="A118" t="str">
            <v>Hutton &amp; Northey - Merredin (CIH)</v>
          </cell>
          <cell r="B118">
            <v>1081701.17</v>
          </cell>
        </row>
        <row r="119">
          <cell r="A119" t="str">
            <v>Hutton &amp; Northey - Merredin (NH)</v>
          </cell>
          <cell r="B119">
            <v>48801.99</v>
          </cell>
        </row>
        <row r="120">
          <cell r="A120" t="str">
            <v>Hutton &amp; Northey - Mukinbudin (CIH)</v>
          </cell>
          <cell r="B120">
            <v>382027.63</v>
          </cell>
        </row>
        <row r="121">
          <cell r="A121" t="str">
            <v>Hydraulics &amp; Tractor Service</v>
          </cell>
          <cell r="B121">
            <v>809564.01000000013</v>
          </cell>
        </row>
        <row r="122">
          <cell r="A122" t="str">
            <v>Interline Sales - Corrigin</v>
          </cell>
          <cell r="B122">
            <v>83574.81</v>
          </cell>
        </row>
        <row r="123">
          <cell r="A123" t="str">
            <v>Intersales - Leeton</v>
          </cell>
          <cell r="B123">
            <v>1675010.1300000001</v>
          </cell>
        </row>
        <row r="124">
          <cell r="A124" t="str">
            <v>Intersales - Temora</v>
          </cell>
          <cell r="B124">
            <v>6213618.6100000003</v>
          </cell>
        </row>
        <row r="125">
          <cell r="A125" t="str">
            <v>Inverell Power Farm Co</v>
          </cell>
          <cell r="B125">
            <v>441017.06</v>
          </cell>
        </row>
        <row r="126">
          <cell r="A126" t="str">
            <v>JJ O'Connor &amp; Son - Corowa</v>
          </cell>
          <cell r="B126">
            <v>1619303.8</v>
          </cell>
        </row>
        <row r="127">
          <cell r="A127" t="str">
            <v>JJ O'Connor &amp; Sons - Bordertown</v>
          </cell>
          <cell r="B127">
            <v>218196.16</v>
          </cell>
        </row>
        <row r="128">
          <cell r="A128" t="str">
            <v>JJ O'Connors - Birchip</v>
          </cell>
          <cell r="B128">
            <v>1371178.3499999999</v>
          </cell>
        </row>
        <row r="129">
          <cell r="A129" t="str">
            <v>JJ O'Connors - Horsham</v>
          </cell>
          <cell r="B129">
            <v>4859075.7899999991</v>
          </cell>
        </row>
        <row r="130">
          <cell r="A130" t="str">
            <v>JJ O'Connors - Warracknabeal</v>
          </cell>
          <cell r="B130">
            <v>2617210.0799999996</v>
          </cell>
        </row>
        <row r="131">
          <cell r="A131" t="str">
            <v>John Payne AG - Bordertown</v>
          </cell>
          <cell r="B131">
            <v>985767.96</v>
          </cell>
        </row>
        <row r="132">
          <cell r="A132" t="str">
            <v>Kempsey Motors</v>
          </cell>
          <cell r="B132">
            <v>28736.690000000002</v>
          </cell>
        </row>
        <row r="133">
          <cell r="A133" t="str">
            <v>Ken Gordon Financial Services</v>
          </cell>
          <cell r="B133">
            <v>88455.69</v>
          </cell>
        </row>
        <row r="134">
          <cell r="A134" t="str">
            <v>Kenway &amp; Clark - Goondiwindi</v>
          </cell>
          <cell r="B134">
            <v>1255099.8999999999</v>
          </cell>
        </row>
        <row r="135">
          <cell r="A135" t="str">
            <v>Kenway &amp; Clark - Inverell</v>
          </cell>
          <cell r="B135">
            <v>308643.40000000002</v>
          </cell>
        </row>
        <row r="136">
          <cell r="A136" t="str">
            <v>Kenway &amp; Clark - Moree</v>
          </cell>
          <cell r="B136">
            <v>4018131.040000001</v>
          </cell>
        </row>
        <row r="137">
          <cell r="A137" t="str">
            <v>Konigs Shepparton</v>
          </cell>
          <cell r="B137">
            <v>20918.37</v>
          </cell>
        </row>
        <row r="138">
          <cell r="A138" t="str">
            <v>KP &amp; DC Machinery - (CC) Rutherford</v>
          </cell>
          <cell r="B138">
            <v>112148.87999999999</v>
          </cell>
        </row>
        <row r="139">
          <cell r="A139" t="str">
            <v>KP &amp; DC Machinery - (NH) Rutherford</v>
          </cell>
          <cell r="B139">
            <v>103385.40000000001</v>
          </cell>
        </row>
        <row r="140">
          <cell r="A140" t="str">
            <v>Larwoods Ag Services - Kadina</v>
          </cell>
          <cell r="B140">
            <v>2632274.4500000002</v>
          </cell>
        </row>
        <row r="141">
          <cell r="A141" t="str">
            <v>Linx Finance Australia</v>
          </cell>
          <cell r="B141">
            <v>134030.41</v>
          </cell>
        </row>
        <row r="142">
          <cell r="A142" t="str">
            <v>Lyndoch Motors</v>
          </cell>
          <cell r="B142">
            <v>1409039.1300000001</v>
          </cell>
        </row>
        <row r="143">
          <cell r="A143" t="str">
            <v>Maccafin</v>
          </cell>
          <cell r="B143">
            <v>158513.60999999999</v>
          </cell>
        </row>
        <row r="144">
          <cell r="A144" t="str">
            <v>Machinery West - Donnybrook</v>
          </cell>
          <cell r="B144">
            <v>252976.69</v>
          </cell>
        </row>
        <row r="145">
          <cell r="A145" t="str">
            <v>Macleay Machinery</v>
          </cell>
          <cell r="B145">
            <v>247882.69</v>
          </cell>
        </row>
        <row r="146">
          <cell r="A146" t="str">
            <v>McDonald Murphy</v>
          </cell>
          <cell r="B146">
            <v>315314.47000000003</v>
          </cell>
        </row>
        <row r="147">
          <cell r="A147" t="str">
            <v>McDonald Murphy - Bundaberg</v>
          </cell>
          <cell r="B147">
            <v>234266.21</v>
          </cell>
        </row>
        <row r="148">
          <cell r="A148" t="str">
            <v>McDonald Murphy - Mackay</v>
          </cell>
          <cell r="B148">
            <v>583621.96</v>
          </cell>
        </row>
        <row r="149">
          <cell r="A149" t="str">
            <v>McIntosh &amp; Son -  Dalby</v>
          </cell>
          <cell r="B149">
            <v>1361080.11</v>
          </cell>
        </row>
        <row r="150">
          <cell r="A150" t="str">
            <v>McIntosh &amp; Son - Emerald</v>
          </cell>
          <cell r="B150">
            <v>239949.61</v>
          </cell>
        </row>
        <row r="151">
          <cell r="A151" t="str">
            <v>McIntosh &amp; Son - Geraldton</v>
          </cell>
          <cell r="B151">
            <v>1666511.52</v>
          </cell>
        </row>
        <row r="152">
          <cell r="A152" t="str">
            <v>McIntosh &amp; Son - Katanning</v>
          </cell>
          <cell r="B152">
            <v>1568333.6900000002</v>
          </cell>
        </row>
        <row r="153">
          <cell r="A153" t="str">
            <v>McIntosh &amp; Son - Moora</v>
          </cell>
          <cell r="B153">
            <v>769995.75</v>
          </cell>
        </row>
        <row r="154">
          <cell r="A154" t="str">
            <v>McIntosh &amp; Son - Redcliffe</v>
          </cell>
          <cell r="B154">
            <v>2591443.4500000007</v>
          </cell>
        </row>
        <row r="155">
          <cell r="A155" t="str">
            <v>McIntosh &amp; Son - Wongan Hills</v>
          </cell>
          <cell r="B155">
            <v>1793975.7200000004</v>
          </cell>
        </row>
        <row r="156">
          <cell r="A156" t="str">
            <v>McPhersons Parts &amp; Service</v>
          </cell>
          <cell r="B156">
            <v>3042064.0899999989</v>
          </cell>
        </row>
        <row r="157">
          <cell r="A157" t="str">
            <v>Millers Machinery - Gilgandra</v>
          </cell>
          <cell r="B157">
            <v>24027.41</v>
          </cell>
        </row>
        <row r="158">
          <cell r="A158" t="str">
            <v>Milne Bros - Rockhampton</v>
          </cell>
          <cell r="B158">
            <v>158906.14000000001</v>
          </cell>
        </row>
        <row r="159">
          <cell r="A159" t="str">
            <v>Milne Bros Equipment Emerald</v>
          </cell>
          <cell r="B159">
            <v>592090.67999999993</v>
          </cell>
        </row>
        <row r="160">
          <cell r="A160" t="str">
            <v>MJ &amp; AM Charlton</v>
          </cell>
          <cell r="B160">
            <v>344582.71</v>
          </cell>
        </row>
        <row r="161">
          <cell r="A161" t="str">
            <v>Mounts Machinery Pty Ltd</v>
          </cell>
          <cell r="B161">
            <v>23771.81</v>
          </cell>
        </row>
        <row r="162">
          <cell r="A162" t="str">
            <v>Mounts Machinery Pty Ltd (NH)</v>
          </cell>
          <cell r="B162">
            <v>356724.57</v>
          </cell>
        </row>
        <row r="163">
          <cell r="A163" t="str">
            <v>Mudgee Machinery Centre</v>
          </cell>
          <cell r="B163">
            <v>91423.01999999999</v>
          </cell>
        </row>
        <row r="164">
          <cell r="A164" t="str">
            <v>Navfin</v>
          </cell>
          <cell r="B164">
            <v>82794.78</v>
          </cell>
        </row>
        <row r="165">
          <cell r="A165" t="str">
            <v>ND &amp; JA Giles Farm Machinery</v>
          </cell>
          <cell r="B165">
            <v>1392575.5699999998</v>
          </cell>
        </row>
        <row r="166">
          <cell r="A166" t="str">
            <v>Noel Graham Farm Machinery</v>
          </cell>
          <cell r="B166">
            <v>119713.39000000001</v>
          </cell>
        </row>
        <row r="167">
          <cell r="A167" t="str">
            <v>North East Isuzu</v>
          </cell>
          <cell r="B167">
            <v>78335.240000000005</v>
          </cell>
        </row>
        <row r="168">
          <cell r="A168" t="str">
            <v>North Pine Mtrs</v>
          </cell>
          <cell r="B168">
            <v>65560.900000000009</v>
          </cell>
        </row>
        <row r="169">
          <cell r="A169" t="str">
            <v>Northern Rivers Machinery</v>
          </cell>
          <cell r="B169">
            <v>561383</v>
          </cell>
        </row>
        <row r="170">
          <cell r="A170" t="str">
            <v>Norwood Agriculture - Horsham</v>
          </cell>
          <cell r="B170">
            <v>702066.98</v>
          </cell>
        </row>
        <row r="171">
          <cell r="A171" t="str">
            <v>Norwood Agriculture - Swan Hill</v>
          </cell>
          <cell r="B171">
            <v>473466.7</v>
          </cell>
        </row>
        <row r="172">
          <cell r="A172" t="str">
            <v>Nowra Truck &amp; Tractor Repairs</v>
          </cell>
          <cell r="B172">
            <v>108052.74</v>
          </cell>
        </row>
        <row r="173">
          <cell r="A173" t="str">
            <v>O'Connors - Birchip</v>
          </cell>
          <cell r="B173">
            <v>2800719.6799999997</v>
          </cell>
        </row>
        <row r="174">
          <cell r="A174" t="str">
            <v>O'Connors Shepparton</v>
          </cell>
          <cell r="B174">
            <v>2259883.98</v>
          </cell>
        </row>
        <row r="175">
          <cell r="A175" t="str">
            <v>On-Trac Ag</v>
          </cell>
          <cell r="B175">
            <v>687601.6</v>
          </cell>
        </row>
        <row r="176">
          <cell r="A176" t="str">
            <v>On-Trac Ag Bathurst</v>
          </cell>
          <cell r="B176">
            <v>172854.44</v>
          </cell>
        </row>
        <row r="177">
          <cell r="A177" t="str">
            <v>Peter May Finance</v>
          </cell>
          <cell r="B177">
            <v>1039882.7200000002</v>
          </cell>
        </row>
        <row r="178">
          <cell r="A178" t="str">
            <v>Phillips Farm Machinery</v>
          </cell>
          <cell r="B178">
            <v>313772.81999999995</v>
          </cell>
        </row>
        <row r="179">
          <cell r="A179" t="str">
            <v>Pierpoint Motors - Stanthorpe</v>
          </cell>
          <cell r="B179">
            <v>200539.03</v>
          </cell>
        </row>
        <row r="180">
          <cell r="A180" t="str">
            <v>Plumb Motors - Bega</v>
          </cell>
          <cell r="B180">
            <v>126666.25</v>
          </cell>
        </row>
        <row r="181">
          <cell r="A181" t="str">
            <v>Price Farm Machinery</v>
          </cell>
          <cell r="B181">
            <v>200799.32</v>
          </cell>
        </row>
        <row r="182">
          <cell r="A182" t="str">
            <v>Purcher International</v>
          </cell>
          <cell r="B182">
            <v>2947087.82</v>
          </cell>
        </row>
        <row r="183">
          <cell r="A183" t="str">
            <v>QMAC Machinery</v>
          </cell>
          <cell r="B183">
            <v>1058275.92</v>
          </cell>
        </row>
        <row r="184">
          <cell r="A184" t="str">
            <v>R McClintock &amp; Co - Forbes</v>
          </cell>
          <cell r="B184">
            <v>999609.07999999984</v>
          </cell>
        </row>
        <row r="185">
          <cell r="A185" t="str">
            <v>R McClintock &amp; Co - Grenfell</v>
          </cell>
          <cell r="B185">
            <v>29379.010000000002</v>
          </cell>
        </row>
        <row r="186">
          <cell r="A186" t="str">
            <v>R McClintock &amp; Co - West Wyalong</v>
          </cell>
          <cell r="B186">
            <v>1542241.1300000001</v>
          </cell>
        </row>
        <row r="187">
          <cell r="A187" t="str">
            <v>Ramsey Bros (Cleve)</v>
          </cell>
          <cell r="B187">
            <v>2268635.42</v>
          </cell>
        </row>
        <row r="188">
          <cell r="A188" t="str">
            <v>Ramsey Bros (Cummins)</v>
          </cell>
          <cell r="B188">
            <v>3940973.129999999</v>
          </cell>
        </row>
        <row r="189">
          <cell r="A189" t="str">
            <v>Ramsey Bros (Group)</v>
          </cell>
          <cell r="B189">
            <v>234835.86</v>
          </cell>
        </row>
        <row r="190">
          <cell r="A190" t="str">
            <v>Ramsey Bros (Murray Bridge)</v>
          </cell>
          <cell r="B190">
            <v>2021176.7999999998</v>
          </cell>
        </row>
        <row r="191">
          <cell r="A191" t="str">
            <v>Ramsey Bros (Riverton)</v>
          </cell>
          <cell r="B191">
            <v>831112.04000000015</v>
          </cell>
        </row>
        <row r="192">
          <cell r="A192" t="str">
            <v>Ramsey Bros (Wudinna)</v>
          </cell>
          <cell r="B192">
            <v>1676136.09</v>
          </cell>
        </row>
        <row r="193">
          <cell r="A193" t="str">
            <v>Ranger Geale - Goulburn</v>
          </cell>
          <cell r="B193">
            <v>310751.40999999997</v>
          </cell>
        </row>
        <row r="194">
          <cell r="A194" t="str">
            <v>Red Line Machinery - Wee Waa</v>
          </cell>
          <cell r="B194">
            <v>363946.66000000003</v>
          </cell>
        </row>
        <row r="195">
          <cell r="A195" t="str">
            <v>Refinance</v>
          </cell>
          <cell r="B195">
            <v>329527.04000000004</v>
          </cell>
        </row>
        <row r="196">
          <cell r="A196" t="str">
            <v>Refinance - Hardship</v>
          </cell>
          <cell r="B196">
            <v>4180853.88</v>
          </cell>
        </row>
        <row r="197">
          <cell r="A197" t="str">
            <v>Refinance - Remarketing</v>
          </cell>
          <cell r="B197">
            <v>1023154.1799999997</v>
          </cell>
        </row>
        <row r="198">
          <cell r="A198" t="str">
            <v>Rhys Evans - Colac</v>
          </cell>
          <cell r="B198">
            <v>564723.99</v>
          </cell>
        </row>
        <row r="199">
          <cell r="A199" t="str">
            <v>Rocky River AG - Crystal Brook</v>
          </cell>
          <cell r="B199">
            <v>4373770.2900000019</v>
          </cell>
        </row>
        <row r="200">
          <cell r="A200" t="str">
            <v>Ronco Motors (CIH)</v>
          </cell>
          <cell r="B200">
            <v>795808.24</v>
          </cell>
        </row>
        <row r="201">
          <cell r="A201" t="str">
            <v>Ronco Motors (NH)</v>
          </cell>
          <cell r="B201">
            <v>500978.93999999994</v>
          </cell>
        </row>
        <row r="202">
          <cell r="A202" t="str">
            <v>RP Motors - Werribee South</v>
          </cell>
          <cell r="B202">
            <v>272794.17</v>
          </cell>
        </row>
        <row r="203">
          <cell r="A203" t="str">
            <v>Russell Industries</v>
          </cell>
          <cell r="B203">
            <v>130327.22</v>
          </cell>
        </row>
        <row r="204">
          <cell r="A204" t="str">
            <v>Sebastopol Mach - Millicent</v>
          </cell>
          <cell r="B204">
            <v>138478.70000000001</v>
          </cell>
        </row>
        <row r="205">
          <cell r="A205" t="str">
            <v>Semco Equip Sales - Queanbeyan</v>
          </cell>
          <cell r="B205">
            <v>393504.01</v>
          </cell>
        </row>
        <row r="206">
          <cell r="A206" t="str">
            <v>Semco Equip Sales - Queanbeyan (NH)</v>
          </cell>
          <cell r="B206">
            <v>33338.720000000001</v>
          </cell>
        </row>
        <row r="207">
          <cell r="A207" t="str">
            <v>Semco Equip Sales - St Marys</v>
          </cell>
          <cell r="B207">
            <v>4233574.7500000009</v>
          </cell>
        </row>
        <row r="208">
          <cell r="A208" t="str">
            <v>Semco Equip Sales - St Marys (NH)</v>
          </cell>
          <cell r="B208">
            <v>57014.67</v>
          </cell>
        </row>
        <row r="209">
          <cell r="A209" t="str">
            <v>Shannon Brothers - Harwood Island</v>
          </cell>
          <cell r="B209">
            <v>638294.19000000006</v>
          </cell>
        </row>
        <row r="210">
          <cell r="A210" t="str">
            <v>South Burnett Machinery</v>
          </cell>
          <cell r="B210">
            <v>174031.69</v>
          </cell>
        </row>
        <row r="211">
          <cell r="A211" t="str">
            <v>South West Isuzu</v>
          </cell>
          <cell r="B211">
            <v>40677.22</v>
          </cell>
        </row>
        <row r="212">
          <cell r="A212" t="str">
            <v>South West Tractors (NH)</v>
          </cell>
          <cell r="B212">
            <v>1314401.6299999994</v>
          </cell>
        </row>
        <row r="213">
          <cell r="A213" t="str">
            <v>St George Machinery</v>
          </cell>
          <cell r="B213">
            <v>3529127.5799999991</v>
          </cell>
        </row>
        <row r="214">
          <cell r="A214" t="str">
            <v>Staines Esperance</v>
          </cell>
          <cell r="B214">
            <v>1734876.26</v>
          </cell>
        </row>
        <row r="215">
          <cell r="A215" t="str">
            <v>Stan Cork Machinery</v>
          </cell>
          <cell r="B215">
            <v>368635.75999999995</v>
          </cell>
        </row>
        <row r="216">
          <cell r="A216" t="str">
            <v>Strathfield Equipment</v>
          </cell>
          <cell r="B216">
            <v>16687.93</v>
          </cell>
        </row>
        <row r="217">
          <cell r="A217" t="str">
            <v>Sunstate Ag - Dalby</v>
          </cell>
          <cell r="B217">
            <v>2247016.09</v>
          </cell>
        </row>
        <row r="218">
          <cell r="A218" t="str">
            <v>Sunstate Ag - Toowoomba</v>
          </cell>
          <cell r="B218">
            <v>368241.35</v>
          </cell>
        </row>
        <row r="219">
          <cell r="A219" t="str">
            <v>Sunstate Agricultural Dalby</v>
          </cell>
          <cell r="B219">
            <v>24273.120000000003</v>
          </cell>
        </row>
        <row r="220">
          <cell r="A220" t="str">
            <v>Swan Farm Machinery</v>
          </cell>
          <cell r="B220">
            <v>493730.49</v>
          </cell>
        </row>
        <row r="221">
          <cell r="A221" t="str">
            <v>Swayn &amp; McCabe</v>
          </cell>
          <cell r="B221">
            <v>700205.83000000007</v>
          </cell>
        </row>
        <row r="222">
          <cell r="A222" t="str">
            <v>Swayn &amp; Mccabe - Warrnambool</v>
          </cell>
          <cell r="B222">
            <v>92070.83</v>
          </cell>
        </row>
        <row r="223">
          <cell r="A223" t="str">
            <v>Taskers Garage - Deniliquin</v>
          </cell>
          <cell r="B223">
            <v>697418.07000000007</v>
          </cell>
        </row>
        <row r="224">
          <cell r="A224" t="str">
            <v>Temora Truck &amp; Tractor Service</v>
          </cell>
          <cell r="B224">
            <v>974677.79999999981</v>
          </cell>
        </row>
        <row r="225">
          <cell r="A225" t="str">
            <v>Three Rivers Machinery</v>
          </cell>
          <cell r="B225">
            <v>424749.31000000006</v>
          </cell>
        </row>
        <row r="226">
          <cell r="A226" t="str">
            <v>TR &amp; KR Shipton - Quoiba</v>
          </cell>
          <cell r="B226">
            <v>556708.12999999989</v>
          </cell>
        </row>
        <row r="227">
          <cell r="A227" t="str">
            <v>Tracfin</v>
          </cell>
          <cell r="B227">
            <v>987109.24</v>
          </cell>
        </row>
        <row r="228">
          <cell r="A228" t="str">
            <v>Tracpower Nq</v>
          </cell>
          <cell r="B228">
            <v>474644.74</v>
          </cell>
        </row>
        <row r="229">
          <cell r="A229" t="str">
            <v>Tractors &amp; Machinery Adelaide</v>
          </cell>
          <cell r="B229">
            <v>256153.41999999998</v>
          </cell>
        </row>
        <row r="230">
          <cell r="A230" t="str">
            <v>Trafalgar Tractor &amp; Mach</v>
          </cell>
          <cell r="B230">
            <v>1080872.52</v>
          </cell>
        </row>
        <row r="231">
          <cell r="A231" t="str">
            <v>Transport Finance</v>
          </cell>
          <cell r="B231">
            <v>4744013.38</v>
          </cell>
        </row>
        <row r="232">
          <cell r="A232" t="str">
            <v>Tully Motors - Tully</v>
          </cell>
          <cell r="B232">
            <v>86758.720000000001</v>
          </cell>
        </row>
        <row r="233">
          <cell r="A233" t="str">
            <v>Turana Nominees - Three Spring</v>
          </cell>
          <cell r="B233">
            <v>27499.360000000001</v>
          </cell>
        </row>
        <row r="234">
          <cell r="A234" t="str">
            <v>W (Bill) Cornish Holdings - Gilgandra</v>
          </cell>
          <cell r="B234">
            <v>467150.72</v>
          </cell>
        </row>
        <row r="235">
          <cell r="A235" t="str">
            <v>W (Bill) Cornish Holdings - Tamworth</v>
          </cell>
          <cell r="B235">
            <v>17200.84</v>
          </cell>
        </row>
        <row r="236">
          <cell r="A236" t="str">
            <v>W M Johnson &amp; Co</v>
          </cell>
          <cell r="B236">
            <v>70964.7</v>
          </cell>
        </row>
        <row r="237">
          <cell r="A237" t="str">
            <v>Walgett Tyre &amp; Machinery</v>
          </cell>
          <cell r="B237">
            <v>490803.24000000005</v>
          </cell>
        </row>
        <row r="238">
          <cell r="A238" t="str">
            <v>Wanneroo Ag Mach - Wanneroo</v>
          </cell>
          <cell r="B238">
            <v>61625.24</v>
          </cell>
        </row>
        <row r="239">
          <cell r="A239" t="str">
            <v>Wd Lewis &amp; Co</v>
          </cell>
          <cell r="B239">
            <v>1778115.52</v>
          </cell>
        </row>
        <row r="240">
          <cell r="A240" t="str">
            <v>Wheat Ridge - Sunrise Ag Ouyen</v>
          </cell>
          <cell r="B240">
            <v>895493.94</v>
          </cell>
        </row>
        <row r="241">
          <cell r="A241" t="str">
            <v>Wheat Ridge - Sunrise Ag Swan Hill</v>
          </cell>
          <cell r="B241">
            <v>5143294.75</v>
          </cell>
        </row>
        <row r="242">
          <cell r="A242" t="str">
            <v>Wheat Ridge-Sunrise Ag Mildura</v>
          </cell>
          <cell r="B242">
            <v>2968552.8299999996</v>
          </cell>
        </row>
        <row r="243">
          <cell r="A243" t="str">
            <v>Wideland Ag - Toowoomba</v>
          </cell>
          <cell r="B243">
            <v>352151.36</v>
          </cell>
        </row>
        <row r="244">
          <cell r="A244" t="str">
            <v>Williams Estate - Atherton</v>
          </cell>
          <cell r="B244">
            <v>170437.31</v>
          </cell>
        </row>
        <row r="245">
          <cell r="A245" t="str">
            <v>Williams Estate - Innisfail</v>
          </cell>
          <cell r="B245">
            <v>268912.87</v>
          </cell>
        </row>
        <row r="246">
          <cell r="A246" t="str">
            <v>Wise Farm Equipment</v>
          </cell>
          <cell r="B246">
            <v>917168.12</v>
          </cell>
        </row>
        <row r="247">
          <cell r="A247" t="str">
            <v>Grand Total</v>
          </cell>
          <cell r="B247">
            <v>213516536.23999998</v>
          </cell>
        </row>
      </sheetData>
      <sheetData sheetId="10">
        <row r="3225">
          <cell r="T3225">
            <v>55.948801500518279</v>
          </cell>
          <cell r="U3225">
            <v>29.712256758038954</v>
          </cell>
          <cell r="X3225">
            <v>7.7158085950361857</v>
          </cell>
          <cell r="AF3225">
            <v>3.9356114245802036E-2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__2011_1_Base_Table___All_Loa"/>
    </sheetNames>
    <sheetDataSet>
      <sheetData sheetId="0">
        <row r="3371">
          <cell r="V3371">
            <v>54.691105552590116</v>
          </cell>
          <cell r="W3371">
            <v>31.486266843867927</v>
          </cell>
          <cell r="Z3371">
            <v>7.7104120754273113</v>
          </cell>
          <cell r="AH3371">
            <v>2.2851032687444397E-2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__2011_1_Base_Table___All_Loa"/>
    </sheetNames>
    <sheetDataSet>
      <sheetData sheetId="0">
        <row r="3509">
          <cell r="V3509">
            <v>54.079274295741733</v>
          </cell>
          <cell r="W3509">
            <v>33.683054827833743</v>
          </cell>
          <cell r="Z3509">
            <v>7.705565764549136</v>
          </cell>
          <cell r="AH3509">
            <v>2.76162862578858E-2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__2011_1_Base_Table___All_Loa"/>
    </sheetNames>
    <sheetDataSet>
      <sheetData sheetId="0" refreshError="1">
        <row r="3675">
          <cell r="V3675">
            <v>53.621939535395605</v>
          </cell>
          <cell r="W3675">
            <v>36.057791104160572</v>
          </cell>
          <cell r="Z3675">
            <v>7.7020607403324064</v>
          </cell>
          <cell r="AH3675">
            <v>2.8078260480700772E-2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2011_1_Monthly_Base_Table"/>
      <sheetName val="Geographic Distribution"/>
      <sheetName val="Collateral Type"/>
      <sheetName val="Top Industry Distribution"/>
      <sheetName val="Residual"/>
      <sheetName val="Balance Distribution"/>
      <sheetName val="Maturity Quarter"/>
      <sheetName val="Seasoning Distribution"/>
      <sheetName val="Arrears Reporting"/>
      <sheetName val="LVR Band"/>
      <sheetName val="Contract Yield"/>
      <sheetName val="Remaining Term Distribution"/>
      <sheetName val="New v Used"/>
      <sheetName val="Contract Type"/>
      <sheetName val="Source Name"/>
      <sheetName val="Frequency"/>
      <sheetName val="Obligor Exposure"/>
    </sheetNames>
    <sheetDataSet>
      <sheetData sheetId="0">
        <row r="3800">
          <cell r="V3800">
            <v>53.377502136154227</v>
          </cell>
          <cell r="W3800">
            <v>38.435496138997486</v>
          </cell>
          <cell r="Z3800">
            <v>7.6878286421666822</v>
          </cell>
          <cell r="AH3800">
            <v>2.8151595082255385E-2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ct yield"/>
      <sheetName val="Geographic"/>
      <sheetName val="Collateral"/>
      <sheetName val="Top Industry"/>
      <sheetName val="Residual"/>
      <sheetName val="Balance"/>
      <sheetName val="Maturity Quarter"/>
      <sheetName val="Seasoning"/>
      <sheetName val="Arrears"/>
      <sheetName val="Obligor"/>
      <sheetName val="Source"/>
      <sheetName val="New v Used"/>
      <sheetName val="Loan Type"/>
      <sheetName val="remaining term"/>
      <sheetName val="LVR"/>
      <sheetName val="perm"/>
      <sheetName val="obligor top 5"/>
      <sheetName val="Sheet6"/>
    </sheetNames>
    <sheetDataSet>
      <sheetData sheetId="0"/>
      <sheetData sheetId="1">
        <row r="2">
          <cell r="A2" t="str">
            <v>ACT</v>
          </cell>
          <cell r="B2">
            <v>4</v>
          </cell>
          <cell r="C2">
            <v>63444.350000000006</v>
          </cell>
        </row>
        <row r="3">
          <cell r="A3" t="str">
            <v>NSW</v>
          </cell>
          <cell r="B3">
            <v>712</v>
          </cell>
          <cell r="C3">
            <v>35484484.020000018</v>
          </cell>
        </row>
        <row r="4">
          <cell r="A4" t="str">
            <v>NT</v>
          </cell>
          <cell r="B4">
            <v>1</v>
          </cell>
          <cell r="C4">
            <v>53791.26999999999</v>
          </cell>
        </row>
        <row r="5">
          <cell r="A5" t="str">
            <v>QLD</v>
          </cell>
          <cell r="B5">
            <v>298</v>
          </cell>
          <cell r="C5">
            <v>11330324.030000003</v>
          </cell>
        </row>
        <row r="6">
          <cell r="A6" t="str">
            <v>SA</v>
          </cell>
          <cell r="B6">
            <v>347</v>
          </cell>
          <cell r="C6">
            <v>15652451.269999994</v>
          </cell>
        </row>
        <row r="7">
          <cell r="A7" t="str">
            <v>TAS</v>
          </cell>
          <cell r="B7">
            <v>45</v>
          </cell>
          <cell r="C7">
            <v>968123.86999999976</v>
          </cell>
        </row>
        <row r="8">
          <cell r="A8" t="str">
            <v>VIC</v>
          </cell>
          <cell r="B8">
            <v>495</v>
          </cell>
          <cell r="C8">
            <v>22787366.299999993</v>
          </cell>
        </row>
        <row r="9">
          <cell r="A9" t="str">
            <v>WA</v>
          </cell>
          <cell r="B9">
            <v>257</v>
          </cell>
          <cell r="C9">
            <v>12632915.649999995</v>
          </cell>
        </row>
      </sheetData>
      <sheetData sheetId="2">
        <row r="2">
          <cell r="A2" t="str">
            <v>100&lt;140 HP TRACTOR</v>
          </cell>
          <cell r="B2">
            <v>330</v>
          </cell>
          <cell r="C2">
            <v>9955016.8600000069</v>
          </cell>
        </row>
        <row r="3">
          <cell r="A3" t="str">
            <v>4 EWD TRACTORS</v>
          </cell>
          <cell r="B3">
            <v>249</v>
          </cell>
          <cell r="C3">
            <v>15238928.829999996</v>
          </cell>
        </row>
        <row r="4">
          <cell r="A4" t="str">
            <v>40&lt;60 HP TRACTOR</v>
          </cell>
          <cell r="B4">
            <v>58</v>
          </cell>
          <cell r="C4">
            <v>777190.93999999983</v>
          </cell>
        </row>
        <row r="5">
          <cell r="A5" t="str">
            <v>4WD Vehicle</v>
          </cell>
          <cell r="B5">
            <v>1</v>
          </cell>
          <cell r="C5">
            <v>26144.439999999988</v>
          </cell>
        </row>
        <row r="6">
          <cell r="A6" t="str">
            <v>60&lt;100 HP TRACTOR</v>
          </cell>
          <cell r="B6">
            <v>267</v>
          </cell>
          <cell r="C6">
            <v>4698797.790000001</v>
          </cell>
        </row>
        <row r="7">
          <cell r="A7" t="str">
            <v>BACKHOES</v>
          </cell>
          <cell r="B7">
            <v>4</v>
          </cell>
          <cell r="C7">
            <v>167600.16999999998</v>
          </cell>
        </row>
        <row r="8">
          <cell r="A8" t="str">
            <v>BALERS, WINDROWERS, MOWERS, RAKES</v>
          </cell>
          <cell r="B8">
            <v>174</v>
          </cell>
          <cell r="C8">
            <v>3495729.5900000003</v>
          </cell>
        </row>
        <row r="9">
          <cell r="A9" t="str">
            <v>COMBINES</v>
          </cell>
          <cell r="B9">
            <v>252</v>
          </cell>
          <cell r="C9">
            <v>25772871.400000013</v>
          </cell>
        </row>
        <row r="10">
          <cell r="A10" t="str">
            <v>COMMERCIAL VEHICLE</v>
          </cell>
          <cell r="B10">
            <v>10</v>
          </cell>
          <cell r="C10">
            <v>136405.08999999997</v>
          </cell>
        </row>
        <row r="11">
          <cell r="A11" t="str">
            <v>COTTON PICKERS</v>
          </cell>
          <cell r="B11">
            <v>3</v>
          </cell>
          <cell r="C11">
            <v>116608.32999999996</v>
          </cell>
        </row>
        <row r="12">
          <cell r="A12" t="str">
            <v>CRAWLERS / DOZERS</v>
          </cell>
          <cell r="B12">
            <v>4</v>
          </cell>
          <cell r="C12">
            <v>879184.99</v>
          </cell>
        </row>
        <row r="13">
          <cell r="A13" t="str">
            <v>CULTIVATORS,SEEDERS, HARROWS</v>
          </cell>
          <cell r="B13">
            <v>114</v>
          </cell>
          <cell r="C13">
            <v>4395684.46</v>
          </cell>
        </row>
        <row r="14">
          <cell r="A14" t="str">
            <v>DRILL</v>
          </cell>
          <cell r="B14">
            <v>8</v>
          </cell>
          <cell r="C14">
            <v>304559.06999999995</v>
          </cell>
        </row>
        <row r="15">
          <cell r="A15" t="str">
            <v>DUMP TRUCKS</v>
          </cell>
          <cell r="B15">
            <v>4</v>
          </cell>
          <cell r="C15">
            <v>341398.0400000001</v>
          </cell>
        </row>
        <row r="16">
          <cell r="A16" t="str">
            <v>EXCAVATORS / GRADERS</v>
          </cell>
          <cell r="B16">
            <v>53</v>
          </cell>
          <cell r="C16">
            <v>2336590.0499999998</v>
          </cell>
        </row>
        <row r="17">
          <cell r="A17" t="str">
            <v>FEEDERS, MIXERS, WAGONS, BINS, FEED STORAGE</v>
          </cell>
          <cell r="B17">
            <v>6</v>
          </cell>
          <cell r="C17">
            <v>91222.53999999995</v>
          </cell>
        </row>
        <row r="18">
          <cell r="A18" t="str">
            <v>FRONT END LOADER</v>
          </cell>
          <cell r="B18">
            <v>7</v>
          </cell>
          <cell r="C18">
            <v>185144.37999999995</v>
          </cell>
        </row>
        <row r="19">
          <cell r="A19" t="str">
            <v>FRONTS</v>
          </cell>
          <cell r="B19">
            <v>29</v>
          </cell>
          <cell r="C19">
            <v>811567.10999999987</v>
          </cell>
        </row>
        <row r="20">
          <cell r="A20" t="str">
            <v>GUIDANCE SYSTEMS</v>
          </cell>
          <cell r="B20">
            <v>26</v>
          </cell>
          <cell r="C20">
            <v>405970.67</v>
          </cell>
        </row>
        <row r="21">
          <cell r="A21" t="str">
            <v>HARVESTERS - Other</v>
          </cell>
          <cell r="B21">
            <v>20</v>
          </cell>
          <cell r="C21">
            <v>1059988.5299999998</v>
          </cell>
        </row>
        <row r="22">
          <cell r="A22" t="str">
            <v>IRRIGATION EQUIPMENT</v>
          </cell>
          <cell r="B22">
            <v>1</v>
          </cell>
          <cell r="C22">
            <v>17753.949999999997</v>
          </cell>
        </row>
        <row r="23">
          <cell r="A23" t="str">
            <v>MATERIALS HANDLING EQUIPMENT</v>
          </cell>
          <cell r="B23">
            <v>11</v>
          </cell>
          <cell r="C23">
            <v>634762.59000000008</v>
          </cell>
        </row>
        <row r="24">
          <cell r="A24" t="str">
            <v>OTHER AG</v>
          </cell>
          <cell r="B24">
            <v>26</v>
          </cell>
          <cell r="C24">
            <v>807700.02</v>
          </cell>
        </row>
        <row r="25">
          <cell r="A25" t="str">
            <v>OTHER CE</v>
          </cell>
          <cell r="B25">
            <v>3</v>
          </cell>
          <cell r="C25">
            <v>204507.30000000002</v>
          </cell>
        </row>
        <row r="26">
          <cell r="A26" t="str">
            <v>OVER 140 HP TRACTOR</v>
          </cell>
          <cell r="B26">
            <v>370</v>
          </cell>
          <cell r="C26">
            <v>19735099.939999994</v>
          </cell>
        </row>
        <row r="27">
          <cell r="A27" t="str">
            <v>ROLLERS</v>
          </cell>
          <cell r="B27">
            <v>2</v>
          </cell>
          <cell r="C27">
            <v>59619.719999999965</v>
          </cell>
        </row>
        <row r="28">
          <cell r="A28" t="str">
            <v>SCRAPERS</v>
          </cell>
          <cell r="B28">
            <v>1</v>
          </cell>
          <cell r="C28">
            <v>118619.27000000008</v>
          </cell>
        </row>
        <row r="29">
          <cell r="A29" t="str">
            <v>SKIDSTEER / UNILOADER</v>
          </cell>
          <cell r="B29">
            <v>17</v>
          </cell>
          <cell r="C29">
            <v>320722.41000000003</v>
          </cell>
        </row>
        <row r="30">
          <cell r="A30" t="str">
            <v>SPRAYING EQUIPMENT</v>
          </cell>
          <cell r="B30">
            <v>73</v>
          </cell>
          <cell r="C30">
            <v>5317865.9400000004</v>
          </cell>
        </row>
        <row r="31">
          <cell r="A31" t="str">
            <v>UNDER 40 HP TRACTORS</v>
          </cell>
          <cell r="B31">
            <v>29</v>
          </cell>
          <cell r="C31">
            <v>275165.43</v>
          </cell>
        </row>
        <row r="32">
          <cell r="A32" t="str">
            <v>WHEEL LOADERS</v>
          </cell>
          <cell r="B32">
            <v>7</v>
          </cell>
          <cell r="C32">
            <v>284480.90999999986</v>
          </cell>
        </row>
      </sheetData>
      <sheetData sheetId="3">
        <row r="2">
          <cell r="A2" t="str">
            <v>AGRICULTURAL MACHINERY</v>
          </cell>
          <cell r="B2">
            <v>2043</v>
          </cell>
          <cell r="C2">
            <v>93489010.220000058</v>
          </cell>
        </row>
        <row r="3">
          <cell r="A3" t="str">
            <v>CONSTRUCTION EQUIPMENT</v>
          </cell>
          <cell r="B3">
            <v>106</v>
          </cell>
          <cell r="C3">
            <v>5347485.4499999993</v>
          </cell>
        </row>
        <row r="4">
          <cell r="A4" t="str">
            <v>zzMOTOR VEHICLE - AG</v>
          </cell>
          <cell r="B4">
            <v>10</v>
          </cell>
          <cell r="C4">
            <v>136405.08999999997</v>
          </cell>
        </row>
      </sheetData>
      <sheetData sheetId="4">
        <row r="2">
          <cell r="A2" t="str">
            <v>0</v>
          </cell>
          <cell r="B2">
            <v>1997</v>
          </cell>
          <cell r="C2">
            <v>81536155.600000009</v>
          </cell>
        </row>
        <row r="3">
          <cell r="A3" t="str">
            <v>0 to 5</v>
          </cell>
          <cell r="B3">
            <v>1</v>
          </cell>
          <cell r="C3">
            <v>102202.26999999999</v>
          </cell>
        </row>
        <row r="4">
          <cell r="A4" t="str">
            <v>11 to 15</v>
          </cell>
          <cell r="B4">
            <v>11</v>
          </cell>
          <cell r="C4">
            <v>485164.88</v>
          </cell>
        </row>
        <row r="5">
          <cell r="A5" t="str">
            <v>16 to 20</v>
          </cell>
          <cell r="B5">
            <v>24</v>
          </cell>
          <cell r="C5">
            <v>2369621.04</v>
          </cell>
        </row>
        <row r="6">
          <cell r="A6" t="str">
            <v>21 to 25</v>
          </cell>
          <cell r="B6">
            <v>25</v>
          </cell>
          <cell r="C6">
            <v>2751071.08</v>
          </cell>
        </row>
        <row r="7">
          <cell r="A7" t="str">
            <v>26 to 30</v>
          </cell>
          <cell r="B7">
            <v>57</v>
          </cell>
          <cell r="C7">
            <v>6352982.7299999995</v>
          </cell>
        </row>
        <row r="8">
          <cell r="A8" t="str">
            <v>31 to 35</v>
          </cell>
          <cell r="B8">
            <v>22</v>
          </cell>
          <cell r="C8">
            <v>2818850.46</v>
          </cell>
        </row>
        <row r="9">
          <cell r="A9" t="str">
            <v>36 to 40</v>
          </cell>
          <cell r="B9">
            <v>15</v>
          </cell>
          <cell r="C9">
            <v>1743302.3500000003</v>
          </cell>
        </row>
        <row r="10">
          <cell r="A10" t="str">
            <v>41+ %</v>
          </cell>
          <cell r="B10">
            <v>5</v>
          </cell>
          <cell r="C10">
            <v>568665.05999999994</v>
          </cell>
        </row>
        <row r="11">
          <cell r="A11" t="str">
            <v>6 to 10</v>
          </cell>
          <cell r="B11">
            <v>2</v>
          </cell>
          <cell r="C11">
            <v>244885.28999999998</v>
          </cell>
        </row>
      </sheetData>
      <sheetData sheetId="5">
        <row r="2">
          <cell r="A2" t="str">
            <v>$0 - $25,000</v>
          </cell>
          <cell r="B2">
            <v>964</v>
          </cell>
          <cell r="C2">
            <v>12117287.51</v>
          </cell>
        </row>
        <row r="3">
          <cell r="A3" t="str">
            <v>$100,001 - $125,000</v>
          </cell>
          <cell r="B3">
            <v>85</v>
          </cell>
          <cell r="C3">
            <v>9448092.2599999979</v>
          </cell>
        </row>
        <row r="4">
          <cell r="A4" t="str">
            <v>$125,001 - $150,000</v>
          </cell>
          <cell r="B4">
            <v>47</v>
          </cell>
          <cell r="C4">
            <v>6437788.4999999991</v>
          </cell>
        </row>
        <row r="5">
          <cell r="A5" t="str">
            <v>$150,001 - $200,000</v>
          </cell>
          <cell r="B5">
            <v>55</v>
          </cell>
          <cell r="C5">
            <v>9296787.9800000004</v>
          </cell>
        </row>
        <row r="6">
          <cell r="A6" t="str">
            <v>$200,001 - $300,000</v>
          </cell>
          <cell r="B6">
            <v>41</v>
          </cell>
          <cell r="C6">
            <v>9783528.7399999984</v>
          </cell>
        </row>
        <row r="7">
          <cell r="A7" t="str">
            <v>$25,001 - $50,000</v>
          </cell>
          <cell r="B7">
            <v>537</v>
          </cell>
          <cell r="C7">
            <v>19092140.529999994</v>
          </cell>
        </row>
        <row r="8">
          <cell r="A8" t="str">
            <v>$300,001 - $400,000</v>
          </cell>
          <cell r="B8">
            <v>10</v>
          </cell>
          <cell r="C8">
            <v>3321948.0300000003</v>
          </cell>
        </row>
        <row r="9">
          <cell r="A9" t="str">
            <v>$50,001 - $75,000</v>
          </cell>
          <cell r="B9">
            <v>271</v>
          </cell>
          <cell r="C9">
            <v>16531655.300000004</v>
          </cell>
        </row>
        <row r="10">
          <cell r="A10" t="str">
            <v>$75,001 - $100,000</v>
          </cell>
          <cell r="B10">
            <v>149</v>
          </cell>
          <cell r="C10">
            <v>12943671.909999995</v>
          </cell>
        </row>
      </sheetData>
      <sheetData sheetId="6">
        <row r="2">
          <cell r="A2" t="str">
            <v>Q12014</v>
          </cell>
          <cell r="B2">
            <v>99</v>
          </cell>
          <cell r="C2">
            <v>1541755.0100000007</v>
          </cell>
        </row>
        <row r="3">
          <cell r="A3" t="str">
            <v>Q12015</v>
          </cell>
          <cell r="B3">
            <v>485</v>
          </cell>
          <cell r="C3">
            <v>20593166.100000009</v>
          </cell>
        </row>
        <row r="4">
          <cell r="A4" t="str">
            <v>Q12016</v>
          </cell>
          <cell r="B4">
            <v>282</v>
          </cell>
          <cell r="C4">
            <v>19554048.189999998</v>
          </cell>
        </row>
        <row r="5">
          <cell r="A5" t="str">
            <v>Q22014</v>
          </cell>
          <cell r="B5">
            <v>181</v>
          </cell>
          <cell r="C5">
            <v>3060568.8800000013</v>
          </cell>
        </row>
        <row r="6">
          <cell r="A6" t="str">
            <v>Q22015</v>
          </cell>
          <cell r="B6">
            <v>327</v>
          </cell>
          <cell r="C6">
            <v>15411485.859999994</v>
          </cell>
        </row>
        <row r="7">
          <cell r="A7" t="str">
            <v>Q22016</v>
          </cell>
          <cell r="B7">
            <v>183</v>
          </cell>
          <cell r="C7">
            <v>13500516.070000002</v>
          </cell>
        </row>
        <row r="8">
          <cell r="A8" t="str">
            <v>Q32014</v>
          </cell>
          <cell r="B8">
            <v>107</v>
          </cell>
          <cell r="C8">
            <v>1958762.28</v>
          </cell>
        </row>
        <row r="9">
          <cell r="A9" t="str">
            <v>Q32015</v>
          </cell>
          <cell r="B9">
            <v>157</v>
          </cell>
          <cell r="C9">
            <v>8479390.6300000045</v>
          </cell>
        </row>
        <row r="10">
          <cell r="A10" t="str">
            <v>Q42013</v>
          </cell>
          <cell r="B10">
            <v>2</v>
          </cell>
          <cell r="C10">
            <v>13009.279999999999</v>
          </cell>
        </row>
        <row r="11">
          <cell r="A11" t="str">
            <v>Q42014</v>
          </cell>
          <cell r="B11">
            <v>117</v>
          </cell>
          <cell r="C11">
            <v>3373695.9099999988</v>
          </cell>
        </row>
        <row r="12">
          <cell r="A12" t="str">
            <v>Q42015</v>
          </cell>
          <cell r="B12">
            <v>219</v>
          </cell>
          <cell r="C12">
            <v>11486502.550000008</v>
          </cell>
        </row>
      </sheetData>
      <sheetData sheetId="7">
        <row r="2">
          <cell r="A2" t="str">
            <v>31 to 36 months</v>
          </cell>
          <cell r="B2">
            <v>589</v>
          </cell>
          <cell r="C2">
            <v>32210129.249999981</v>
          </cell>
        </row>
        <row r="3">
          <cell r="A3" t="str">
            <v>37 to 42 months</v>
          </cell>
          <cell r="B3">
            <v>742</v>
          </cell>
          <cell r="C3">
            <v>36599351.690000035</v>
          </cell>
        </row>
        <row r="4">
          <cell r="A4" t="str">
            <v>43 to 48 months</v>
          </cell>
          <cell r="B4">
            <v>581</v>
          </cell>
          <cell r="C4">
            <v>22687341.360000018</v>
          </cell>
        </row>
        <row r="5">
          <cell r="A5" t="str">
            <v>49 to 54 months</v>
          </cell>
          <cell r="B5">
            <v>150</v>
          </cell>
          <cell r="C5">
            <v>5441950.620000001</v>
          </cell>
        </row>
        <row r="6">
          <cell r="A6" t="str">
            <v>55 to 60 months</v>
          </cell>
          <cell r="B6">
            <v>87</v>
          </cell>
          <cell r="C6">
            <v>1841490.2499999993</v>
          </cell>
        </row>
        <row r="7">
          <cell r="A7" t="str">
            <v>60+ months</v>
          </cell>
          <cell r="B7">
            <v>10</v>
          </cell>
          <cell r="C7">
            <v>192637.59000000003</v>
          </cell>
        </row>
      </sheetData>
      <sheetData sheetId="8">
        <row r="2">
          <cell r="A2" t="str">
            <v>1. 0 - 30 Days</v>
          </cell>
          <cell r="B2">
            <v>306983</v>
          </cell>
          <cell r="C2">
            <v>2144</v>
          </cell>
          <cell r="D2">
            <v>97671107.820000067</v>
          </cell>
        </row>
        <row r="3">
          <cell r="A3" t="str">
            <v>2. 31 - 60 Days</v>
          </cell>
          <cell r="B3">
            <v>8256.419999999991</v>
          </cell>
          <cell r="C3">
            <v>2</v>
          </cell>
          <cell r="D3">
            <v>75256.81</v>
          </cell>
        </row>
        <row r="4">
          <cell r="A4" t="str">
            <v>3. 61 - 90 Days</v>
          </cell>
          <cell r="B4">
            <v>236133.44999999998</v>
          </cell>
          <cell r="C4">
            <v>8</v>
          </cell>
          <cell r="D4">
            <v>710594.12</v>
          </cell>
        </row>
        <row r="5">
          <cell r="A5" t="str">
            <v>4. 91 - 120 Days</v>
          </cell>
          <cell r="B5">
            <v>20315.739999999998</v>
          </cell>
          <cell r="C5">
            <v>1</v>
          </cell>
          <cell r="D5">
            <v>220600.94</v>
          </cell>
        </row>
        <row r="6">
          <cell r="A6" t="str">
            <v>5. 121 - 150 Days</v>
          </cell>
          <cell r="B6">
            <v>23596.679999999978</v>
          </cell>
          <cell r="C6">
            <v>2</v>
          </cell>
          <cell r="D6">
            <v>90846.739999999947</v>
          </cell>
        </row>
        <row r="7">
          <cell r="A7" t="str">
            <v>6. 151 - 180 Days</v>
          </cell>
          <cell r="B7">
            <v>50998.460000000028</v>
          </cell>
          <cell r="C7">
            <v>2</v>
          </cell>
          <cell r="D7">
            <v>204494.33000000002</v>
          </cell>
        </row>
      </sheetData>
      <sheetData sheetId="9"/>
      <sheetData sheetId="10">
        <row r="1">
          <cell r="A1" t="str">
            <v>Source</v>
          </cell>
          <cell r="B1" t="str">
            <v>Count</v>
          </cell>
          <cell r="C1" t="str">
            <v>Principal</v>
          </cell>
        </row>
        <row r="2">
          <cell r="A2" t="str">
            <v>Ag Sales and Rental</v>
          </cell>
          <cell r="B2">
            <v>11</v>
          </cell>
          <cell r="C2">
            <v>488776.55</v>
          </cell>
        </row>
        <row r="3">
          <cell r="A3" t="str">
            <v>Agnorth</v>
          </cell>
          <cell r="B3">
            <v>7</v>
          </cell>
          <cell r="C3">
            <v>279330.68999999994</v>
          </cell>
        </row>
        <row r="4">
          <cell r="A4" t="str">
            <v>Agpower &amp; Transport</v>
          </cell>
          <cell r="B4">
            <v>4</v>
          </cell>
          <cell r="C4">
            <v>23544.969999999994</v>
          </cell>
        </row>
        <row r="5">
          <cell r="A5" t="str">
            <v>Agricultural Requirements</v>
          </cell>
          <cell r="B5">
            <v>12</v>
          </cell>
          <cell r="C5">
            <v>145173.17000000001</v>
          </cell>
        </row>
        <row r="6">
          <cell r="A6" t="str">
            <v>Agrimac Ballarat</v>
          </cell>
          <cell r="B6">
            <v>32</v>
          </cell>
          <cell r="C6">
            <v>1403467.98</v>
          </cell>
        </row>
        <row r="7">
          <cell r="A7" t="str">
            <v>Agrimac Warrnambool</v>
          </cell>
          <cell r="B7">
            <v>30</v>
          </cell>
          <cell r="C7">
            <v>828656.17999999982</v>
          </cell>
        </row>
        <row r="8">
          <cell r="A8" t="str">
            <v>Ainsworth Motors - Chinchilla</v>
          </cell>
          <cell r="B8">
            <v>6</v>
          </cell>
          <cell r="C8">
            <v>207884.58999999994</v>
          </cell>
        </row>
        <row r="9">
          <cell r="A9" t="str">
            <v>Alto Motors - Trafalgar</v>
          </cell>
          <cell r="B9">
            <v>14</v>
          </cell>
          <cell r="C9">
            <v>209066.1</v>
          </cell>
        </row>
        <row r="10">
          <cell r="A10" t="str">
            <v>Aurisch &amp; Johnson (ardmore) Pl</v>
          </cell>
          <cell r="B10">
            <v>1</v>
          </cell>
          <cell r="C10">
            <v>58128.36</v>
          </cell>
        </row>
        <row r="11">
          <cell r="A11" t="str">
            <v>AW Vater &amp; Co - Kadina</v>
          </cell>
          <cell r="B11">
            <v>13</v>
          </cell>
          <cell r="C11">
            <v>613846.20000000007</v>
          </cell>
        </row>
        <row r="12">
          <cell r="A12" t="str">
            <v>AW Vater &amp; Co - Saddleworth</v>
          </cell>
          <cell r="B12">
            <v>11</v>
          </cell>
          <cell r="C12">
            <v>508642.74999999994</v>
          </cell>
        </row>
        <row r="13">
          <cell r="A13" t="str">
            <v>Ballarat Tractors &amp; Cons Equip</v>
          </cell>
          <cell r="B13">
            <v>18</v>
          </cell>
          <cell r="C13">
            <v>694700.35999999987</v>
          </cell>
        </row>
        <row r="14">
          <cell r="A14" t="str">
            <v>Barberie Machinery (CIH)</v>
          </cell>
          <cell r="B14">
            <v>5</v>
          </cell>
          <cell r="C14">
            <v>19807.180000000004</v>
          </cell>
        </row>
        <row r="15">
          <cell r="A15" t="str">
            <v>Baxters Rural Centre</v>
          </cell>
          <cell r="B15">
            <v>4</v>
          </cell>
          <cell r="C15">
            <v>228795.11999999997</v>
          </cell>
        </row>
        <row r="16">
          <cell r="A16" t="str">
            <v>BFG - AG &amp; CE</v>
          </cell>
          <cell r="B16">
            <v>22</v>
          </cell>
          <cell r="C16">
            <v>2115190.73</v>
          </cell>
        </row>
        <row r="17">
          <cell r="A17" t="str">
            <v>BFG - Transport</v>
          </cell>
          <cell r="B17">
            <v>1</v>
          </cell>
          <cell r="C17">
            <v>15813.170000000006</v>
          </cell>
        </row>
        <row r="18">
          <cell r="A18" t="str">
            <v>Billabong Motors - Lockhart</v>
          </cell>
          <cell r="B18">
            <v>4</v>
          </cell>
          <cell r="C18">
            <v>607704.02</v>
          </cell>
        </row>
        <row r="19">
          <cell r="A19" t="str">
            <v>Black-Trac Archerfield</v>
          </cell>
          <cell r="B19">
            <v>6</v>
          </cell>
          <cell r="C19">
            <v>58177.490000000005</v>
          </cell>
        </row>
        <row r="20">
          <cell r="A20" t="str">
            <v>Black-Trac Caboolture</v>
          </cell>
          <cell r="B20">
            <v>4</v>
          </cell>
          <cell r="C20">
            <v>51678.490000000013</v>
          </cell>
        </row>
        <row r="21">
          <cell r="A21" t="str">
            <v>Black-Trac Rocklea</v>
          </cell>
          <cell r="B21">
            <v>1</v>
          </cell>
          <cell r="C21">
            <v>11270.609999999993</v>
          </cell>
        </row>
        <row r="22">
          <cell r="A22" t="str">
            <v>Black Truck &amp; AG Moree</v>
          </cell>
          <cell r="B22">
            <v>1</v>
          </cell>
          <cell r="C22">
            <v>79691.160000000033</v>
          </cell>
        </row>
        <row r="23">
          <cell r="A23" t="str">
            <v>BMS Adelaide</v>
          </cell>
          <cell r="B23">
            <v>2</v>
          </cell>
          <cell r="C23">
            <v>44697.22</v>
          </cell>
        </row>
        <row r="24">
          <cell r="A24" t="str">
            <v>BMS AG &amp; Construction - Tanunda</v>
          </cell>
          <cell r="B24">
            <v>5</v>
          </cell>
          <cell r="C24">
            <v>339783.98</v>
          </cell>
        </row>
        <row r="25">
          <cell r="A25" t="str">
            <v>Boekeman Machinery (Dalwallinu)</v>
          </cell>
          <cell r="B25">
            <v>12</v>
          </cell>
          <cell r="C25">
            <v>969084.69</v>
          </cell>
        </row>
        <row r="26">
          <cell r="A26" t="str">
            <v>Boekeman Machinery (Dowerin)</v>
          </cell>
          <cell r="B26">
            <v>2</v>
          </cell>
          <cell r="C26">
            <v>84070.25</v>
          </cell>
        </row>
        <row r="27">
          <cell r="A27" t="str">
            <v>Boekeman Machinery (group)</v>
          </cell>
          <cell r="B27">
            <v>1</v>
          </cell>
          <cell r="C27">
            <v>65915.859999999986</v>
          </cell>
        </row>
        <row r="28">
          <cell r="A28" t="str">
            <v>Boekeman Machinery (Northam)</v>
          </cell>
          <cell r="B28">
            <v>11</v>
          </cell>
          <cell r="C28">
            <v>358408.4</v>
          </cell>
        </row>
        <row r="29">
          <cell r="A29" t="str">
            <v>Boekeman Machinery (Wongan Hills)</v>
          </cell>
          <cell r="B29">
            <v>5</v>
          </cell>
          <cell r="C29">
            <v>148203.70000000001</v>
          </cell>
        </row>
        <row r="30">
          <cell r="A30" t="str">
            <v>Brescianini Motors - Ingham</v>
          </cell>
          <cell r="B30">
            <v>15</v>
          </cell>
          <cell r="C30">
            <v>470356.01999999996</v>
          </cell>
        </row>
        <row r="31">
          <cell r="A31" t="str">
            <v>Burnett Land &amp; Mach-Bundaberg</v>
          </cell>
          <cell r="B31">
            <v>5</v>
          </cell>
          <cell r="C31">
            <v>95823.319999999978</v>
          </cell>
        </row>
        <row r="32">
          <cell r="A32" t="str">
            <v>Busselton Mach - Busselton</v>
          </cell>
          <cell r="B32">
            <v>2</v>
          </cell>
          <cell r="C32">
            <v>20323.230000000018</v>
          </cell>
        </row>
        <row r="33">
          <cell r="A33" t="str">
            <v>Carlisle Tractors - Mackay</v>
          </cell>
          <cell r="B33">
            <v>22</v>
          </cell>
          <cell r="C33">
            <v>485679.32999999996</v>
          </cell>
        </row>
        <row r="34">
          <cell r="A34" t="str">
            <v>Carruthers Machinery</v>
          </cell>
          <cell r="B34">
            <v>21</v>
          </cell>
          <cell r="C34">
            <v>1569358.1199999999</v>
          </cell>
        </row>
        <row r="35">
          <cell r="A35" t="str">
            <v>Carruthers Machinery Cowra</v>
          </cell>
          <cell r="B35">
            <v>20</v>
          </cell>
          <cell r="C35">
            <v>647893.18000000005</v>
          </cell>
        </row>
        <row r="36">
          <cell r="A36" t="str">
            <v>Case Victoria</v>
          </cell>
          <cell r="B36">
            <v>2</v>
          </cell>
          <cell r="C36">
            <v>102958.13999999997</v>
          </cell>
        </row>
        <row r="37">
          <cell r="A37" t="str">
            <v>Chapman &amp; Slattery Mach Sales</v>
          </cell>
          <cell r="B37">
            <v>1</v>
          </cell>
          <cell r="C37">
            <v>12884.669999999984</v>
          </cell>
        </row>
        <row r="38">
          <cell r="A38" t="str">
            <v>Cobram Rural</v>
          </cell>
          <cell r="B38">
            <v>8</v>
          </cell>
          <cell r="C38">
            <v>156027.78999999995</v>
          </cell>
        </row>
        <row r="39">
          <cell r="A39" t="str">
            <v>Codemo Machinery Services</v>
          </cell>
          <cell r="B39">
            <v>24</v>
          </cell>
          <cell r="C39">
            <v>1241685.0399999998</v>
          </cell>
        </row>
        <row r="40">
          <cell r="A40" t="str">
            <v>Coote Motors - Brookton</v>
          </cell>
          <cell r="B40">
            <v>1</v>
          </cell>
          <cell r="C40">
            <v>28777.219999999987</v>
          </cell>
        </row>
        <row r="41">
          <cell r="A41" t="str">
            <v>Cornish's (Condobolin)</v>
          </cell>
          <cell r="B41">
            <v>16</v>
          </cell>
          <cell r="C41">
            <v>1220561.3499999999</v>
          </cell>
        </row>
        <row r="42">
          <cell r="A42" t="str">
            <v>Cornish's (group)</v>
          </cell>
          <cell r="B42">
            <v>12</v>
          </cell>
          <cell r="C42">
            <v>247975.98</v>
          </cell>
        </row>
        <row r="43">
          <cell r="A43" t="str">
            <v>Cornish's (Gunnedah)</v>
          </cell>
          <cell r="B43">
            <v>14</v>
          </cell>
          <cell r="C43">
            <v>901394.05</v>
          </cell>
        </row>
        <row r="44">
          <cell r="A44" t="str">
            <v>Cornish's (Narromine)</v>
          </cell>
          <cell r="B44">
            <v>12</v>
          </cell>
          <cell r="C44">
            <v>1233460.6900000002</v>
          </cell>
        </row>
        <row r="45">
          <cell r="A45" t="str">
            <v>Cornish's (Parkes)</v>
          </cell>
          <cell r="B45">
            <v>3</v>
          </cell>
          <cell r="C45">
            <v>129001.39999999998</v>
          </cell>
        </row>
        <row r="46">
          <cell r="A46" t="str">
            <v>Cornish's T/as Millers Mach</v>
          </cell>
          <cell r="B46">
            <v>5</v>
          </cell>
          <cell r="C46">
            <v>249466.24999999994</v>
          </cell>
        </row>
        <row r="47">
          <cell r="A47" t="str">
            <v>Cowra Machinery Centre</v>
          </cell>
          <cell r="B47">
            <v>18</v>
          </cell>
          <cell r="C47">
            <v>354470.54000000004</v>
          </cell>
        </row>
        <row r="48">
          <cell r="A48" t="str">
            <v>Crossbred Nom T/ Geoff Perkins</v>
          </cell>
          <cell r="B48">
            <v>6</v>
          </cell>
          <cell r="C48">
            <v>169717.7</v>
          </cell>
        </row>
        <row r="49">
          <cell r="A49" t="str">
            <v>CSA Capital</v>
          </cell>
          <cell r="B49">
            <v>2</v>
          </cell>
          <cell r="C49">
            <v>43234.039999999994</v>
          </cell>
        </row>
        <row r="50">
          <cell r="A50" t="str">
            <v>Cunninghams Ag - Moora</v>
          </cell>
          <cell r="B50">
            <v>4</v>
          </cell>
          <cell r="C50">
            <v>121044.14</v>
          </cell>
        </row>
        <row r="51">
          <cell r="A51" t="str">
            <v>Cunninghams Ag Three Springs</v>
          </cell>
          <cell r="B51">
            <v>7</v>
          </cell>
          <cell r="C51">
            <v>602577.47</v>
          </cell>
        </row>
        <row r="52">
          <cell r="A52" t="str">
            <v>Curtis's - Tumby Bay</v>
          </cell>
          <cell r="B52">
            <v>7</v>
          </cell>
          <cell r="C52">
            <v>425154.48</v>
          </cell>
        </row>
        <row r="53">
          <cell r="A53" t="str">
            <v>David Evans Group - Biloela (NH)</v>
          </cell>
          <cell r="B53">
            <v>7</v>
          </cell>
          <cell r="C53">
            <v>88257.13</v>
          </cell>
        </row>
        <row r="54">
          <cell r="A54" t="str">
            <v>David Evans Group - Boonah</v>
          </cell>
          <cell r="B54">
            <v>6</v>
          </cell>
          <cell r="C54">
            <v>81032.700000000012</v>
          </cell>
        </row>
        <row r="55">
          <cell r="A55" t="str">
            <v>David Evans Group - Gatton</v>
          </cell>
          <cell r="B55">
            <v>5</v>
          </cell>
          <cell r="C55">
            <v>79477.33</v>
          </cell>
        </row>
        <row r="56">
          <cell r="A56" t="str">
            <v>David Evans Group - Millmerran</v>
          </cell>
          <cell r="B56">
            <v>3</v>
          </cell>
          <cell r="C56">
            <v>82602.609999999986</v>
          </cell>
        </row>
        <row r="57">
          <cell r="A57" t="str">
            <v>David Evans Group - Toowoomba</v>
          </cell>
          <cell r="B57">
            <v>7</v>
          </cell>
          <cell r="C57">
            <v>42235.769999999982</v>
          </cell>
        </row>
        <row r="58">
          <cell r="A58" t="str">
            <v>David Evans Group - Warwick</v>
          </cell>
          <cell r="B58">
            <v>5</v>
          </cell>
          <cell r="C58">
            <v>160452.52000000002</v>
          </cell>
        </row>
        <row r="59">
          <cell r="A59" t="str">
            <v>Days Machinery - Casino</v>
          </cell>
          <cell r="B59">
            <v>2</v>
          </cell>
          <cell r="C59">
            <v>50763.680000000008</v>
          </cell>
        </row>
        <row r="60">
          <cell r="A60" t="str">
            <v>De Rosa's Highway Motors</v>
          </cell>
          <cell r="B60">
            <v>6</v>
          </cell>
          <cell r="C60">
            <v>79700.800000000017</v>
          </cell>
        </row>
        <row r="61">
          <cell r="A61" t="str">
            <v>Direct - CC Internal Sales</v>
          </cell>
          <cell r="B61">
            <v>26</v>
          </cell>
          <cell r="C61">
            <v>802789.91</v>
          </cell>
        </row>
        <row r="62">
          <cell r="A62" t="str">
            <v>Direct - CC New South Wales</v>
          </cell>
          <cell r="B62">
            <v>2</v>
          </cell>
          <cell r="C62">
            <v>52880.900000000009</v>
          </cell>
        </row>
        <row r="63">
          <cell r="A63" t="str">
            <v>Direct - CC Queensland</v>
          </cell>
          <cell r="B63">
            <v>6</v>
          </cell>
          <cell r="C63">
            <v>429333.73999999987</v>
          </cell>
        </row>
        <row r="64">
          <cell r="A64" t="str">
            <v>Direct - CC Tri States</v>
          </cell>
          <cell r="B64">
            <v>5</v>
          </cell>
          <cell r="C64">
            <v>113563.35999999999</v>
          </cell>
        </row>
        <row r="65">
          <cell r="A65" t="str">
            <v>Direct - NHF Internal Sales</v>
          </cell>
          <cell r="B65">
            <v>12</v>
          </cell>
          <cell r="C65">
            <v>394078.51999999996</v>
          </cell>
        </row>
        <row r="66">
          <cell r="A66" t="str">
            <v>Direct - NHF New South Wales</v>
          </cell>
          <cell r="B66">
            <v>4</v>
          </cell>
          <cell r="C66">
            <v>73431.109999999986</v>
          </cell>
        </row>
        <row r="67">
          <cell r="A67" t="str">
            <v>Direct - NHF Queensland</v>
          </cell>
          <cell r="B67">
            <v>2</v>
          </cell>
          <cell r="C67">
            <v>82637.539999999979</v>
          </cell>
        </row>
        <row r="68">
          <cell r="A68" t="str">
            <v>Direct - NHF Tri States</v>
          </cell>
          <cell r="B68">
            <v>6</v>
          </cell>
          <cell r="C68">
            <v>136914.18999999994</v>
          </cell>
        </row>
        <row r="69">
          <cell r="A69" t="str">
            <v>Direct - Western Australia</v>
          </cell>
          <cell r="B69">
            <v>3</v>
          </cell>
          <cell r="C69">
            <v>73180.62000000001</v>
          </cell>
        </row>
        <row r="70">
          <cell r="A70" t="str">
            <v>DJ Grech</v>
          </cell>
          <cell r="B70">
            <v>4</v>
          </cell>
          <cell r="C70">
            <v>51164.14999999998</v>
          </cell>
        </row>
        <row r="71">
          <cell r="A71" t="str">
            <v>Dover &amp; Sons - Beaudesert</v>
          </cell>
          <cell r="B71">
            <v>2</v>
          </cell>
          <cell r="C71">
            <v>43624.30000000001</v>
          </cell>
        </row>
        <row r="72">
          <cell r="A72" t="str">
            <v>Dover &amp; Sons - Boonah</v>
          </cell>
          <cell r="B72">
            <v>4</v>
          </cell>
          <cell r="C72">
            <v>64584.510000000046</v>
          </cell>
        </row>
        <row r="73">
          <cell r="A73" t="str">
            <v>Duncan &amp; Duncan - Walgett</v>
          </cell>
          <cell r="B73">
            <v>4</v>
          </cell>
          <cell r="C73">
            <v>121084.94999999998</v>
          </cell>
        </row>
        <row r="74">
          <cell r="A74" t="str">
            <v>Dunlop &amp; Isbel - St Arnaud</v>
          </cell>
          <cell r="B74">
            <v>4</v>
          </cell>
          <cell r="C74">
            <v>264343.51</v>
          </cell>
        </row>
        <row r="75">
          <cell r="A75" t="str">
            <v>Echuca CIH - Echuca</v>
          </cell>
          <cell r="B75">
            <v>26</v>
          </cell>
          <cell r="C75">
            <v>1343918.0300000003</v>
          </cell>
        </row>
        <row r="76">
          <cell r="A76" t="str">
            <v>Echuca Rural (Echuca)</v>
          </cell>
          <cell r="B76">
            <v>28</v>
          </cell>
          <cell r="C76">
            <v>499478.75999999989</v>
          </cell>
        </row>
        <row r="77">
          <cell r="A77" t="str">
            <v>Errol Matschoss - Waikerie</v>
          </cell>
          <cell r="B77">
            <v>4</v>
          </cell>
          <cell r="C77">
            <v>162093.16</v>
          </cell>
        </row>
        <row r="78">
          <cell r="A78" t="str">
            <v>Farm Machinery Tasmania</v>
          </cell>
          <cell r="B78">
            <v>18</v>
          </cell>
          <cell r="C78">
            <v>349949.04000000004</v>
          </cell>
        </row>
        <row r="79">
          <cell r="A79" t="str">
            <v>Farmers Centre (1978) - Albany</v>
          </cell>
          <cell r="B79">
            <v>11</v>
          </cell>
          <cell r="C79">
            <v>825033.70000000007</v>
          </cell>
        </row>
        <row r="80">
          <cell r="A80" t="str">
            <v>Farmers Centre (1978) - Dumbleyung</v>
          </cell>
          <cell r="B80">
            <v>1</v>
          </cell>
          <cell r="C80">
            <v>57406.119999999995</v>
          </cell>
        </row>
        <row r="81">
          <cell r="A81" t="str">
            <v>Farmers Centre (1978) - Katanning</v>
          </cell>
          <cell r="B81">
            <v>5</v>
          </cell>
          <cell r="C81">
            <v>175744.44999999998</v>
          </cell>
        </row>
        <row r="82">
          <cell r="A82" t="str">
            <v>Farmers Centre (1978) - Lake Grace</v>
          </cell>
          <cell r="B82">
            <v>1</v>
          </cell>
          <cell r="C82">
            <v>70862.659999999974</v>
          </cell>
        </row>
        <row r="83">
          <cell r="A83" t="str">
            <v>Farmers Centre (Narrogin)</v>
          </cell>
          <cell r="B83">
            <v>5</v>
          </cell>
          <cell r="C83">
            <v>175918.33</v>
          </cell>
        </row>
        <row r="84">
          <cell r="A84" t="str">
            <v>Farmers Centre (WA) - Esperance</v>
          </cell>
          <cell r="B84">
            <v>9</v>
          </cell>
          <cell r="C84">
            <v>388857.63000000006</v>
          </cell>
        </row>
        <row r="85">
          <cell r="A85" t="str">
            <v>Farmers Centre (WA) - Ravensthorpe</v>
          </cell>
          <cell r="B85">
            <v>5</v>
          </cell>
          <cell r="C85">
            <v>341801.59</v>
          </cell>
        </row>
        <row r="86">
          <cell r="A86" t="str">
            <v>Farmpower - Kulin</v>
          </cell>
          <cell r="B86">
            <v>2</v>
          </cell>
          <cell r="C86">
            <v>88426.050000000017</v>
          </cell>
        </row>
        <row r="87">
          <cell r="A87" t="str">
            <v>Farmpower - Quairading</v>
          </cell>
          <cell r="B87">
            <v>7</v>
          </cell>
          <cell r="C87">
            <v>266361.25999999995</v>
          </cell>
        </row>
        <row r="88">
          <cell r="A88" t="str">
            <v>Five Star Enterprises (Moree)</v>
          </cell>
          <cell r="B88">
            <v>2</v>
          </cell>
          <cell r="C88">
            <v>82604.220000000016</v>
          </cell>
        </row>
        <row r="89">
          <cell r="A89" t="str">
            <v>Flinders Machinery</v>
          </cell>
          <cell r="B89">
            <v>10</v>
          </cell>
          <cell r="C89">
            <v>670372.02</v>
          </cell>
        </row>
        <row r="90">
          <cell r="A90" t="str">
            <v>Forbes Machinery</v>
          </cell>
          <cell r="B90">
            <v>23</v>
          </cell>
          <cell r="C90">
            <v>641069.93999999994</v>
          </cell>
        </row>
        <row r="91">
          <cell r="A91" t="str">
            <v>Fox Finance &amp; Leasing</v>
          </cell>
          <cell r="B91">
            <v>2</v>
          </cell>
          <cell r="C91">
            <v>124864.31000000001</v>
          </cell>
        </row>
        <row r="92">
          <cell r="A92" t="str">
            <v>Gaffney (machinery) - Somerset</v>
          </cell>
          <cell r="B92">
            <v>14</v>
          </cell>
          <cell r="C92">
            <v>331738.14999999997</v>
          </cell>
        </row>
        <row r="93">
          <cell r="A93" t="str">
            <v>GBC Motors - Mildura</v>
          </cell>
          <cell r="B93">
            <v>32</v>
          </cell>
          <cell r="C93">
            <v>1517743.1899999997</v>
          </cell>
        </row>
        <row r="94">
          <cell r="A94" t="str">
            <v>Gendore Tractors &amp; Mach. 3980</v>
          </cell>
          <cell r="B94">
            <v>1</v>
          </cell>
          <cell r="C94">
            <v>5029.0599999999977</v>
          </cell>
        </row>
        <row r="95">
          <cell r="A95" t="str">
            <v>Gendore Tractors &amp; Mach. LGTHA</v>
          </cell>
          <cell r="B95">
            <v>18</v>
          </cell>
          <cell r="C95">
            <v>334234.44</v>
          </cell>
        </row>
        <row r="96">
          <cell r="A96" t="str">
            <v>Geronimo Farm Equipment Walgett</v>
          </cell>
          <cell r="B96">
            <v>15</v>
          </cell>
          <cell r="C96">
            <v>1121440.1499999999</v>
          </cell>
        </row>
        <row r="97">
          <cell r="A97" t="str">
            <v>Gino Favaro &amp; Son</v>
          </cell>
          <cell r="B97">
            <v>1</v>
          </cell>
          <cell r="C97">
            <v>32063.929999999993</v>
          </cell>
        </row>
        <row r="98">
          <cell r="A98" t="str">
            <v>Godings Welding - Whittlesea</v>
          </cell>
          <cell r="B98">
            <v>5</v>
          </cell>
          <cell r="C98">
            <v>22239.479999999992</v>
          </cell>
        </row>
        <row r="99">
          <cell r="A99" t="str">
            <v>Goodwin Kenny - Gunnedah</v>
          </cell>
          <cell r="B99">
            <v>13</v>
          </cell>
          <cell r="C99">
            <v>396896.42000000004</v>
          </cell>
        </row>
        <row r="100">
          <cell r="A100" t="str">
            <v>Goodwin Kenny - Tamworth</v>
          </cell>
          <cell r="B100">
            <v>5</v>
          </cell>
          <cell r="C100">
            <v>154166.74</v>
          </cell>
        </row>
        <row r="101">
          <cell r="A101" t="str">
            <v>Great Southern Motors -Wagga</v>
          </cell>
          <cell r="B101">
            <v>15</v>
          </cell>
          <cell r="C101">
            <v>831694.89999999991</v>
          </cell>
        </row>
        <row r="102">
          <cell r="A102" t="str">
            <v>Great Southern Motors Albury</v>
          </cell>
          <cell r="B102">
            <v>2</v>
          </cell>
          <cell r="C102">
            <v>60732.310000000019</v>
          </cell>
        </row>
        <row r="103">
          <cell r="A103" t="str">
            <v>Hage Tractors - Naracoorte</v>
          </cell>
          <cell r="B103">
            <v>20</v>
          </cell>
          <cell r="C103">
            <v>633636.4800000001</v>
          </cell>
        </row>
        <row r="104">
          <cell r="A104" t="str">
            <v>Hartwigs - Lavington</v>
          </cell>
          <cell r="B104">
            <v>6</v>
          </cell>
          <cell r="C104">
            <v>653970.23</v>
          </cell>
        </row>
        <row r="105">
          <cell r="A105" t="str">
            <v>Hartwigs - Wagga</v>
          </cell>
          <cell r="B105">
            <v>15</v>
          </cell>
          <cell r="C105">
            <v>709011.84000000008</v>
          </cell>
        </row>
        <row r="106">
          <cell r="A106" t="str">
            <v>Hartwigs Griffith</v>
          </cell>
          <cell r="B106">
            <v>8</v>
          </cell>
          <cell r="C106">
            <v>1007549.3099999998</v>
          </cell>
        </row>
        <row r="107">
          <cell r="A107" t="str">
            <v>Hutton &amp; Northey - Corrigin</v>
          </cell>
          <cell r="B107">
            <v>2</v>
          </cell>
          <cell r="C107">
            <v>206535.86999999997</v>
          </cell>
        </row>
        <row r="108">
          <cell r="A108" t="str">
            <v>Hutton &amp; Northey - Cunderdin (CIH)</v>
          </cell>
          <cell r="B108">
            <v>3</v>
          </cell>
          <cell r="C108">
            <v>113490.44999999998</v>
          </cell>
        </row>
        <row r="109">
          <cell r="A109" t="str">
            <v>Hutton &amp; Northey - Merredin (CIH)</v>
          </cell>
          <cell r="B109">
            <v>7</v>
          </cell>
          <cell r="C109">
            <v>468088.45</v>
          </cell>
        </row>
        <row r="110">
          <cell r="A110" t="str">
            <v>Hutton &amp; Northey - Mukinbudin (CIH)</v>
          </cell>
          <cell r="B110">
            <v>2</v>
          </cell>
          <cell r="C110">
            <v>206191.59000000003</v>
          </cell>
        </row>
        <row r="111">
          <cell r="A111" t="str">
            <v>Hydraulics &amp; Tractor Service</v>
          </cell>
          <cell r="B111">
            <v>9</v>
          </cell>
          <cell r="C111">
            <v>224743.40000000002</v>
          </cell>
        </row>
        <row r="112">
          <cell r="A112" t="str">
            <v>Intersales - Leeton</v>
          </cell>
          <cell r="B112">
            <v>13</v>
          </cell>
          <cell r="C112">
            <v>916532.27999999991</v>
          </cell>
        </row>
        <row r="113">
          <cell r="A113" t="str">
            <v>Intersales - Temora</v>
          </cell>
          <cell r="B113">
            <v>51</v>
          </cell>
          <cell r="C113">
            <v>3473783.5699999994</v>
          </cell>
        </row>
        <row r="114">
          <cell r="A114" t="str">
            <v>Inverell Power Farm Co</v>
          </cell>
          <cell r="B114">
            <v>8</v>
          </cell>
          <cell r="C114">
            <v>162286.61000000002</v>
          </cell>
        </row>
        <row r="115">
          <cell r="A115" t="str">
            <v>JJ O'Connor &amp; Son - Corowa</v>
          </cell>
          <cell r="B115">
            <v>11</v>
          </cell>
          <cell r="C115">
            <v>847990.96999999986</v>
          </cell>
        </row>
        <row r="116">
          <cell r="A116" t="str">
            <v>JJ O'Connor &amp; Sons - Bordertown</v>
          </cell>
          <cell r="B116">
            <v>3</v>
          </cell>
          <cell r="C116">
            <v>134738.08000000002</v>
          </cell>
        </row>
        <row r="117">
          <cell r="A117" t="str">
            <v>JJ O'Connors - Birchip</v>
          </cell>
          <cell r="B117">
            <v>4</v>
          </cell>
          <cell r="C117">
            <v>556805.29999999993</v>
          </cell>
        </row>
        <row r="118">
          <cell r="A118" t="str">
            <v>JJ O'Connors - Horsham</v>
          </cell>
          <cell r="B118">
            <v>35</v>
          </cell>
          <cell r="C118">
            <v>2309776.330000001</v>
          </cell>
        </row>
        <row r="119">
          <cell r="A119" t="str">
            <v>JJ O'Connors - Warracknabeal</v>
          </cell>
          <cell r="B119">
            <v>17</v>
          </cell>
          <cell r="C119">
            <v>1300004.3</v>
          </cell>
        </row>
        <row r="120">
          <cell r="A120" t="str">
            <v>John Payne AG - Bordertown</v>
          </cell>
          <cell r="B120">
            <v>6</v>
          </cell>
          <cell r="C120">
            <v>253171.03999999995</v>
          </cell>
        </row>
        <row r="121">
          <cell r="A121" t="str">
            <v>Kempsey Motors</v>
          </cell>
          <cell r="B121">
            <v>2</v>
          </cell>
          <cell r="C121">
            <v>6238.4099999999889</v>
          </cell>
        </row>
        <row r="122">
          <cell r="A122" t="str">
            <v>Ken Gordon Financial Services</v>
          </cell>
          <cell r="B122">
            <v>2</v>
          </cell>
          <cell r="C122">
            <v>18975.709999999992</v>
          </cell>
        </row>
        <row r="123">
          <cell r="A123" t="str">
            <v>Kenway &amp; Clark - Goondiwindi</v>
          </cell>
          <cell r="B123">
            <v>9</v>
          </cell>
          <cell r="C123">
            <v>373460.99999999988</v>
          </cell>
        </row>
        <row r="124">
          <cell r="A124" t="str">
            <v>Kenway &amp; Clark - Inverell</v>
          </cell>
          <cell r="B124">
            <v>4</v>
          </cell>
          <cell r="C124">
            <v>137462.03999999998</v>
          </cell>
        </row>
        <row r="125">
          <cell r="A125" t="str">
            <v>Kenway &amp; Clark - Moree</v>
          </cell>
          <cell r="B125">
            <v>21</v>
          </cell>
          <cell r="C125">
            <v>1940488.8900000004</v>
          </cell>
        </row>
        <row r="126">
          <cell r="A126" t="str">
            <v>Konigs Shepparton</v>
          </cell>
          <cell r="B126">
            <v>1</v>
          </cell>
          <cell r="C126">
            <v>3595.2800000000134</v>
          </cell>
        </row>
        <row r="127">
          <cell r="A127" t="str">
            <v>KP &amp; DC Machinery - (CC) Rutherford</v>
          </cell>
          <cell r="B127">
            <v>5</v>
          </cell>
          <cell r="C127">
            <v>62134.579999999973</v>
          </cell>
        </row>
        <row r="128">
          <cell r="A128" t="str">
            <v>KP &amp; DC Machinery - (NH) Rutherford</v>
          </cell>
          <cell r="B128">
            <v>5</v>
          </cell>
          <cell r="C128">
            <v>46786.280000000028</v>
          </cell>
        </row>
        <row r="129">
          <cell r="A129" t="str">
            <v>Larwoods Ag Services - Kadina</v>
          </cell>
          <cell r="B129">
            <v>18</v>
          </cell>
          <cell r="C129">
            <v>1231950.6599999999</v>
          </cell>
        </row>
        <row r="130">
          <cell r="A130" t="str">
            <v>Linx Finance Australia</v>
          </cell>
          <cell r="B130">
            <v>1</v>
          </cell>
          <cell r="C130">
            <v>94093.989999999991</v>
          </cell>
        </row>
        <row r="131">
          <cell r="A131" t="str">
            <v>Lyndoch Motors</v>
          </cell>
          <cell r="B131">
            <v>15</v>
          </cell>
          <cell r="C131">
            <v>818578.76000000013</v>
          </cell>
        </row>
        <row r="132">
          <cell r="A132" t="str">
            <v>Maccafin</v>
          </cell>
          <cell r="B132">
            <v>1</v>
          </cell>
          <cell r="C132">
            <v>94952.950000000012</v>
          </cell>
        </row>
        <row r="133">
          <cell r="A133" t="str">
            <v>Machinery West - Donnybrook</v>
          </cell>
          <cell r="B133">
            <v>7</v>
          </cell>
          <cell r="C133">
            <v>67344.350000000006</v>
          </cell>
        </row>
        <row r="134">
          <cell r="A134" t="str">
            <v>Macleay Machinery</v>
          </cell>
          <cell r="B134">
            <v>7</v>
          </cell>
          <cell r="C134">
            <v>126275.69999999995</v>
          </cell>
        </row>
        <row r="135">
          <cell r="A135" t="str">
            <v>McClintock Central West Machinery Centre</v>
          </cell>
          <cell r="B135">
            <v>11</v>
          </cell>
          <cell r="C135">
            <v>496981.32</v>
          </cell>
        </row>
        <row r="136">
          <cell r="A136" t="str">
            <v>McDonald Murphy</v>
          </cell>
          <cell r="B136">
            <v>6</v>
          </cell>
          <cell r="C136">
            <v>140731.27000000002</v>
          </cell>
        </row>
        <row r="137">
          <cell r="A137" t="str">
            <v>McDonald Murphy - Bundaberg</v>
          </cell>
          <cell r="B137">
            <v>2</v>
          </cell>
          <cell r="C137">
            <v>81394.850000000006</v>
          </cell>
        </row>
        <row r="138">
          <cell r="A138" t="str">
            <v>McDonald Murphy - Mackay</v>
          </cell>
          <cell r="B138">
            <v>8</v>
          </cell>
          <cell r="C138">
            <v>175876.57999999996</v>
          </cell>
        </row>
        <row r="139">
          <cell r="A139" t="str">
            <v>McIntosh &amp; Son -  Dalby</v>
          </cell>
          <cell r="B139">
            <v>13</v>
          </cell>
          <cell r="C139">
            <v>699410.25</v>
          </cell>
        </row>
        <row r="140">
          <cell r="A140" t="str">
            <v>McIntosh &amp; Son - Emerald</v>
          </cell>
          <cell r="B140">
            <v>2</v>
          </cell>
          <cell r="C140">
            <v>111058.79999999999</v>
          </cell>
        </row>
        <row r="141">
          <cell r="A141" t="str">
            <v>McIntosh &amp; Son - Geraldton</v>
          </cell>
          <cell r="B141">
            <v>20</v>
          </cell>
          <cell r="C141">
            <v>730839.51</v>
          </cell>
        </row>
        <row r="142">
          <cell r="A142" t="str">
            <v>McIntosh &amp; Son - Katanning</v>
          </cell>
          <cell r="B142">
            <v>12</v>
          </cell>
          <cell r="C142">
            <v>358858.2</v>
          </cell>
        </row>
        <row r="143">
          <cell r="A143" t="str">
            <v>McIntosh &amp; Son - Moora</v>
          </cell>
          <cell r="B143">
            <v>6</v>
          </cell>
          <cell r="C143">
            <v>252797.01999999996</v>
          </cell>
        </row>
        <row r="144">
          <cell r="A144" t="str">
            <v>McIntosh &amp; Son - Redcliffe</v>
          </cell>
          <cell r="B144">
            <v>35</v>
          </cell>
          <cell r="C144">
            <v>1071897.25</v>
          </cell>
        </row>
        <row r="145">
          <cell r="A145" t="str">
            <v>McIntosh &amp; Son - Wongan Hills</v>
          </cell>
          <cell r="B145">
            <v>10</v>
          </cell>
          <cell r="C145">
            <v>798846.71</v>
          </cell>
        </row>
        <row r="146">
          <cell r="A146" t="str">
            <v>McPhersons Parts &amp; Service</v>
          </cell>
          <cell r="B146">
            <v>23</v>
          </cell>
          <cell r="C146">
            <v>1562269.5800000003</v>
          </cell>
        </row>
        <row r="147">
          <cell r="A147" t="str">
            <v>Milne Bros - Rockhampton</v>
          </cell>
          <cell r="B147">
            <v>3</v>
          </cell>
          <cell r="C147">
            <v>73383.73</v>
          </cell>
        </row>
        <row r="148">
          <cell r="A148" t="str">
            <v>Milne Bros Equipment Emerald</v>
          </cell>
          <cell r="B148">
            <v>4</v>
          </cell>
          <cell r="C148">
            <v>306149.61</v>
          </cell>
        </row>
        <row r="149">
          <cell r="A149" t="str">
            <v>MJ &amp; AM Charlton</v>
          </cell>
          <cell r="B149">
            <v>9</v>
          </cell>
          <cell r="C149">
            <v>195296.53</v>
          </cell>
        </row>
        <row r="150">
          <cell r="A150" t="str">
            <v>Mounts Machinery Pty Ltd (NH)</v>
          </cell>
          <cell r="B150">
            <v>6</v>
          </cell>
          <cell r="C150">
            <v>151324.31000000003</v>
          </cell>
        </row>
        <row r="151">
          <cell r="A151" t="str">
            <v>Mudgee Machinery Centre</v>
          </cell>
          <cell r="B151">
            <v>1</v>
          </cell>
          <cell r="C151">
            <v>29502.5</v>
          </cell>
        </row>
        <row r="152">
          <cell r="A152" t="str">
            <v>Navfin</v>
          </cell>
          <cell r="B152">
            <v>1</v>
          </cell>
          <cell r="C152">
            <v>63641.66</v>
          </cell>
        </row>
        <row r="153">
          <cell r="A153" t="str">
            <v>ND &amp; JA Giles Farm Machinery</v>
          </cell>
          <cell r="B153">
            <v>32</v>
          </cell>
          <cell r="C153">
            <v>663469.55999999994</v>
          </cell>
        </row>
        <row r="154">
          <cell r="A154" t="str">
            <v>Noel Graham Farm Machinery</v>
          </cell>
          <cell r="B154">
            <v>2</v>
          </cell>
          <cell r="C154">
            <v>11537.160000000005</v>
          </cell>
        </row>
        <row r="155">
          <cell r="A155" t="str">
            <v>North Pine Mtrs</v>
          </cell>
          <cell r="B155">
            <v>2</v>
          </cell>
          <cell r="C155">
            <v>11477.28</v>
          </cell>
        </row>
        <row r="156">
          <cell r="A156" t="str">
            <v>Northern Rivers Machinery</v>
          </cell>
          <cell r="B156">
            <v>16</v>
          </cell>
          <cell r="C156">
            <v>313480.67</v>
          </cell>
        </row>
        <row r="157">
          <cell r="A157" t="str">
            <v>Norwood Agriculture - Horsham</v>
          </cell>
          <cell r="B157">
            <v>4</v>
          </cell>
          <cell r="C157">
            <v>328430.36</v>
          </cell>
        </row>
        <row r="158">
          <cell r="A158" t="str">
            <v>Norwood Agriculture - Swan Hill</v>
          </cell>
          <cell r="B158">
            <v>5</v>
          </cell>
          <cell r="C158">
            <v>228365.43000000002</v>
          </cell>
        </row>
        <row r="159">
          <cell r="A159" t="str">
            <v>Nowra Truck &amp; Tractor Repairs</v>
          </cell>
          <cell r="B159">
            <v>3</v>
          </cell>
          <cell r="C159">
            <v>67449.879999999976</v>
          </cell>
        </row>
        <row r="160">
          <cell r="A160" t="str">
            <v>O'Connors - Birchip</v>
          </cell>
          <cell r="B160">
            <v>26</v>
          </cell>
          <cell r="C160">
            <v>1970581.54</v>
          </cell>
        </row>
        <row r="161">
          <cell r="A161" t="str">
            <v>O'Connors Shepparton</v>
          </cell>
          <cell r="B161">
            <v>22</v>
          </cell>
          <cell r="C161">
            <v>950844.51999999979</v>
          </cell>
        </row>
        <row r="162">
          <cell r="A162" t="str">
            <v>On-Trac Ag</v>
          </cell>
          <cell r="B162">
            <v>19</v>
          </cell>
          <cell r="C162">
            <v>343855.92999999993</v>
          </cell>
        </row>
        <row r="163">
          <cell r="A163" t="str">
            <v>On-Trac Ag Bathurst</v>
          </cell>
          <cell r="B163">
            <v>4</v>
          </cell>
          <cell r="C163">
            <v>51331.219999999987</v>
          </cell>
        </row>
        <row r="164">
          <cell r="A164" t="str">
            <v>Peter May Finance</v>
          </cell>
          <cell r="B164">
            <v>9</v>
          </cell>
          <cell r="C164">
            <v>557138.74</v>
          </cell>
        </row>
        <row r="165">
          <cell r="A165" t="str">
            <v>Phillips Farm Machinery</v>
          </cell>
          <cell r="B165">
            <v>4</v>
          </cell>
          <cell r="C165">
            <v>124953.43000000001</v>
          </cell>
        </row>
        <row r="166">
          <cell r="A166" t="str">
            <v>Pierpoint Motors - Stanthorpe</v>
          </cell>
          <cell r="B166">
            <v>8</v>
          </cell>
          <cell r="C166">
            <v>62328.51999999999</v>
          </cell>
        </row>
        <row r="167">
          <cell r="A167" t="str">
            <v>Plumb Motors - Bega</v>
          </cell>
          <cell r="B167">
            <v>4</v>
          </cell>
          <cell r="C167">
            <v>52321.840000000011</v>
          </cell>
        </row>
        <row r="168">
          <cell r="A168" t="str">
            <v>Price Farm Machinery</v>
          </cell>
          <cell r="B168">
            <v>4</v>
          </cell>
          <cell r="C168">
            <v>92026.279999999984</v>
          </cell>
        </row>
        <row r="169">
          <cell r="A169" t="str">
            <v>Purcher International</v>
          </cell>
          <cell r="B169">
            <v>20</v>
          </cell>
          <cell r="C169">
            <v>1077290.69</v>
          </cell>
        </row>
        <row r="170">
          <cell r="A170" t="str">
            <v>QMAC Machinery</v>
          </cell>
          <cell r="B170">
            <v>14</v>
          </cell>
          <cell r="C170">
            <v>338845.78999999992</v>
          </cell>
        </row>
        <row r="171">
          <cell r="A171" t="str">
            <v>R McClintock &amp; Co - West Wyalong</v>
          </cell>
          <cell r="B171">
            <v>15</v>
          </cell>
          <cell r="C171">
            <v>855839.09000000008</v>
          </cell>
        </row>
        <row r="172">
          <cell r="A172" t="str">
            <v>Ramsey Bros (Cleve)</v>
          </cell>
          <cell r="B172">
            <v>16</v>
          </cell>
          <cell r="C172">
            <v>576326.28</v>
          </cell>
        </row>
        <row r="173">
          <cell r="A173" t="str">
            <v>Ramsey Bros (Cummins)</v>
          </cell>
          <cell r="B173">
            <v>27</v>
          </cell>
          <cell r="C173">
            <v>1457837.9900000002</v>
          </cell>
        </row>
        <row r="174">
          <cell r="A174" t="str">
            <v>Ramsey Bros (Group)</v>
          </cell>
          <cell r="B174">
            <v>1</v>
          </cell>
          <cell r="C174">
            <v>17482.260000000002</v>
          </cell>
        </row>
        <row r="175">
          <cell r="A175" t="str">
            <v>Ramsey Bros (Murray Bridge)</v>
          </cell>
          <cell r="B175">
            <v>28</v>
          </cell>
          <cell r="C175">
            <v>1042496.8799999998</v>
          </cell>
        </row>
        <row r="176">
          <cell r="A176" t="str">
            <v>Ramsey Bros (Riverton)</v>
          </cell>
          <cell r="B176">
            <v>10</v>
          </cell>
          <cell r="C176">
            <v>346255.24</v>
          </cell>
        </row>
        <row r="177">
          <cell r="A177" t="str">
            <v>Ramsey Bros (Wudinna)</v>
          </cell>
          <cell r="B177">
            <v>11</v>
          </cell>
          <cell r="C177">
            <v>643899.83000000007</v>
          </cell>
        </row>
        <row r="178">
          <cell r="A178" t="str">
            <v>Ranger Geale - Goulburn</v>
          </cell>
          <cell r="B178">
            <v>8</v>
          </cell>
          <cell r="C178">
            <v>148940.04999999996</v>
          </cell>
        </row>
        <row r="179">
          <cell r="A179" t="str">
            <v>Red Line Machinery - Wee Waa</v>
          </cell>
          <cell r="B179">
            <v>4</v>
          </cell>
          <cell r="C179">
            <v>197202.99</v>
          </cell>
        </row>
        <row r="180">
          <cell r="A180" t="str">
            <v>Refinance</v>
          </cell>
          <cell r="B180">
            <v>2</v>
          </cell>
          <cell r="C180">
            <v>29027.41</v>
          </cell>
        </row>
        <row r="181">
          <cell r="A181" t="str">
            <v>Refinance - Hardship</v>
          </cell>
          <cell r="B181">
            <v>22</v>
          </cell>
          <cell r="C181">
            <v>1494096.0699999998</v>
          </cell>
        </row>
        <row r="182">
          <cell r="A182" t="str">
            <v>Refinance - Remarketing</v>
          </cell>
          <cell r="B182">
            <v>7</v>
          </cell>
          <cell r="C182">
            <v>107595.52</v>
          </cell>
        </row>
        <row r="183">
          <cell r="A183" t="str">
            <v>Rhys Evans - Colac</v>
          </cell>
          <cell r="B183">
            <v>10</v>
          </cell>
          <cell r="C183">
            <v>370071.59000000008</v>
          </cell>
        </row>
        <row r="184">
          <cell r="A184" t="str">
            <v>Rocky River AG - Crystal Brook</v>
          </cell>
          <cell r="B184">
            <v>48</v>
          </cell>
          <cell r="C184">
            <v>1818168.3099999996</v>
          </cell>
        </row>
        <row r="185">
          <cell r="A185" t="str">
            <v>Ronco Motors (CIH)</v>
          </cell>
          <cell r="B185">
            <v>6</v>
          </cell>
          <cell r="C185">
            <v>279878.74</v>
          </cell>
        </row>
        <row r="186">
          <cell r="A186" t="str">
            <v>Ronco Motors (NH)</v>
          </cell>
          <cell r="B186">
            <v>5</v>
          </cell>
          <cell r="C186">
            <v>158780.70000000001</v>
          </cell>
        </row>
        <row r="187">
          <cell r="A187" t="str">
            <v>RP Motors - Werribee South</v>
          </cell>
          <cell r="B187">
            <v>5</v>
          </cell>
          <cell r="C187">
            <v>112098.12</v>
          </cell>
        </row>
        <row r="188">
          <cell r="A188" t="str">
            <v>Russell Industries</v>
          </cell>
          <cell r="B188">
            <v>2</v>
          </cell>
          <cell r="C188">
            <v>39118.499999999971</v>
          </cell>
        </row>
        <row r="189">
          <cell r="A189" t="str">
            <v>Sebastopol Mach - Millicent</v>
          </cell>
          <cell r="B189">
            <v>2</v>
          </cell>
          <cell r="C189">
            <v>85430.269999999975</v>
          </cell>
        </row>
        <row r="190">
          <cell r="A190" t="str">
            <v>Semco Equip Sales - Queanbeyan</v>
          </cell>
          <cell r="B190">
            <v>10</v>
          </cell>
          <cell r="C190">
            <v>187812.99</v>
          </cell>
        </row>
        <row r="191">
          <cell r="A191" t="str">
            <v>Semco Equip Sales - Queanbeyan (NH)</v>
          </cell>
          <cell r="B191">
            <v>1</v>
          </cell>
          <cell r="C191">
            <v>3871.5699999999997</v>
          </cell>
        </row>
        <row r="192">
          <cell r="A192" t="str">
            <v>Semco Equip Sales - St Marys</v>
          </cell>
          <cell r="B192">
            <v>31</v>
          </cell>
          <cell r="C192">
            <v>2161943.3300000005</v>
          </cell>
        </row>
        <row r="193">
          <cell r="A193" t="str">
            <v>Shannon Brothers - Harwood Island</v>
          </cell>
          <cell r="B193">
            <v>14</v>
          </cell>
          <cell r="C193">
            <v>273743.58999999991</v>
          </cell>
        </row>
        <row r="194">
          <cell r="A194" t="str">
            <v>South Burnett Machinery</v>
          </cell>
          <cell r="B194">
            <v>7</v>
          </cell>
          <cell r="C194">
            <v>52704.260000000009</v>
          </cell>
        </row>
        <row r="195">
          <cell r="A195" t="str">
            <v>South West Isuzu</v>
          </cell>
          <cell r="B195">
            <v>1</v>
          </cell>
          <cell r="C195">
            <v>27603.229999999989</v>
          </cell>
        </row>
        <row r="196">
          <cell r="A196" t="str">
            <v>South West Tractors (NH)</v>
          </cell>
          <cell r="B196">
            <v>22</v>
          </cell>
          <cell r="C196">
            <v>744402.42999999993</v>
          </cell>
        </row>
        <row r="197">
          <cell r="A197" t="str">
            <v>St George Machinery</v>
          </cell>
          <cell r="B197">
            <v>16</v>
          </cell>
          <cell r="C197">
            <v>1972310.2</v>
          </cell>
        </row>
        <row r="198">
          <cell r="A198" t="str">
            <v>Staines Esperance</v>
          </cell>
          <cell r="B198">
            <v>9</v>
          </cell>
          <cell r="C198">
            <v>571145.22</v>
          </cell>
        </row>
        <row r="199">
          <cell r="A199" t="str">
            <v>Stan Cork Machinery</v>
          </cell>
          <cell r="B199">
            <v>10</v>
          </cell>
          <cell r="C199">
            <v>185412.79</v>
          </cell>
        </row>
        <row r="200">
          <cell r="A200" t="str">
            <v>Sunstate Ag - Dalby</v>
          </cell>
          <cell r="B200">
            <v>21</v>
          </cell>
          <cell r="C200">
            <v>1271600.3</v>
          </cell>
        </row>
        <row r="201">
          <cell r="A201" t="str">
            <v>Sunstate Ag - Toowoomba</v>
          </cell>
          <cell r="B201">
            <v>4</v>
          </cell>
          <cell r="C201">
            <v>231204.54000000004</v>
          </cell>
        </row>
        <row r="202">
          <cell r="A202" t="str">
            <v>Swan Farm Machinery</v>
          </cell>
          <cell r="B202">
            <v>10</v>
          </cell>
          <cell r="C202">
            <v>271533.24</v>
          </cell>
        </row>
        <row r="203">
          <cell r="A203" t="str">
            <v>Swayn &amp; McCabe</v>
          </cell>
          <cell r="B203">
            <v>10</v>
          </cell>
          <cell r="C203">
            <v>222075.74999999997</v>
          </cell>
        </row>
        <row r="204">
          <cell r="A204" t="str">
            <v>Swayn &amp; Mccabe - Warrnambool</v>
          </cell>
          <cell r="B204">
            <v>3</v>
          </cell>
          <cell r="C204">
            <v>56819.719999999987</v>
          </cell>
        </row>
        <row r="205">
          <cell r="A205" t="str">
            <v>Taskers Garage - Deniliquin</v>
          </cell>
          <cell r="B205">
            <v>11</v>
          </cell>
          <cell r="C205">
            <v>444325.60000000003</v>
          </cell>
        </row>
        <row r="206">
          <cell r="A206" t="str">
            <v>Temora Truck &amp; Tractor Service</v>
          </cell>
          <cell r="B206">
            <v>9</v>
          </cell>
          <cell r="C206">
            <v>567848.73</v>
          </cell>
        </row>
        <row r="207">
          <cell r="A207" t="str">
            <v>Three Rivers Machinery</v>
          </cell>
          <cell r="B207">
            <v>3</v>
          </cell>
          <cell r="C207">
            <v>104766.58000000003</v>
          </cell>
        </row>
        <row r="208">
          <cell r="A208" t="str">
            <v>TR &amp; KR Shipton - Quoiba</v>
          </cell>
          <cell r="B208">
            <v>11</v>
          </cell>
          <cell r="C208">
            <v>251355.20000000007</v>
          </cell>
        </row>
        <row r="209">
          <cell r="A209" t="str">
            <v>Tracfin</v>
          </cell>
          <cell r="B209">
            <v>2</v>
          </cell>
          <cell r="C209">
            <v>82691.319999999978</v>
          </cell>
        </row>
        <row r="210">
          <cell r="A210" t="str">
            <v>Tracpower Nq</v>
          </cell>
          <cell r="B210">
            <v>7</v>
          </cell>
          <cell r="C210">
            <v>186424.38999999996</v>
          </cell>
        </row>
        <row r="211">
          <cell r="A211" t="str">
            <v>Tractors &amp; Machinery Adelaide</v>
          </cell>
          <cell r="B211">
            <v>1</v>
          </cell>
          <cell r="C211">
            <v>6385.3200000000052</v>
          </cell>
        </row>
        <row r="212">
          <cell r="A212" t="str">
            <v>Trafalgar Tractor &amp; Mach</v>
          </cell>
          <cell r="B212">
            <v>21</v>
          </cell>
          <cell r="C212">
            <v>551144.72</v>
          </cell>
        </row>
        <row r="213">
          <cell r="A213" t="str">
            <v>Transport Finance</v>
          </cell>
          <cell r="B213">
            <v>33</v>
          </cell>
          <cell r="C213">
            <v>2120649.48</v>
          </cell>
        </row>
        <row r="214">
          <cell r="A214" t="str">
            <v>Tully Motors - Tully</v>
          </cell>
          <cell r="B214">
            <v>1</v>
          </cell>
          <cell r="C214">
            <v>5160.9900000000052</v>
          </cell>
        </row>
        <row r="215">
          <cell r="A215" t="str">
            <v>W (Bill) Cornish Holdings - Gilgandra</v>
          </cell>
          <cell r="B215">
            <v>5</v>
          </cell>
          <cell r="C215">
            <v>265991.75</v>
          </cell>
        </row>
        <row r="216">
          <cell r="A216" t="str">
            <v>W M Johnson &amp; Co</v>
          </cell>
          <cell r="B216">
            <v>1</v>
          </cell>
          <cell r="C216">
            <v>21882.800000000003</v>
          </cell>
        </row>
        <row r="217">
          <cell r="A217" t="str">
            <v>Walgett Tyre &amp; Machinery</v>
          </cell>
          <cell r="B217">
            <v>6</v>
          </cell>
          <cell r="C217">
            <v>243748.18</v>
          </cell>
        </row>
        <row r="218">
          <cell r="A218" t="str">
            <v>Wd Lewis &amp; Co</v>
          </cell>
          <cell r="B218">
            <v>9</v>
          </cell>
          <cell r="C218">
            <v>994365.25999999989</v>
          </cell>
        </row>
        <row r="219">
          <cell r="A219" t="str">
            <v>Wheat Ridge-Sunrise Ag Mildura</v>
          </cell>
          <cell r="B219">
            <v>18</v>
          </cell>
          <cell r="C219">
            <v>1494328.8499999999</v>
          </cell>
        </row>
        <row r="220">
          <cell r="A220" t="str">
            <v>Wheat Ridge - Sunrise Ag Ouyen</v>
          </cell>
          <cell r="B220">
            <v>8</v>
          </cell>
          <cell r="C220">
            <v>368959.36</v>
          </cell>
        </row>
        <row r="221">
          <cell r="A221" t="str">
            <v>Wheat Ridge - Sunrise Ag Swan Hill</v>
          </cell>
          <cell r="B221">
            <v>28</v>
          </cell>
          <cell r="C221">
            <v>2885246.8899999997</v>
          </cell>
        </row>
        <row r="222">
          <cell r="A222" t="str">
            <v>Wideland Ag - Toowoomba</v>
          </cell>
          <cell r="B222">
            <v>4</v>
          </cell>
          <cell r="C222">
            <v>193477.23</v>
          </cell>
        </row>
        <row r="223">
          <cell r="A223" t="str">
            <v>Williams Estate - Atherton</v>
          </cell>
          <cell r="B223">
            <v>5</v>
          </cell>
          <cell r="C223">
            <v>47034.989999999983</v>
          </cell>
        </row>
        <row r="224">
          <cell r="A224" t="str">
            <v>Williams Estate - Innisfail</v>
          </cell>
          <cell r="B224">
            <v>4</v>
          </cell>
          <cell r="C224">
            <v>105038.15999999995</v>
          </cell>
        </row>
        <row r="225">
          <cell r="A225" t="str">
            <v>Wise Farm Equipment</v>
          </cell>
          <cell r="B225">
            <v>9</v>
          </cell>
          <cell r="C225">
            <v>640504.72999999986</v>
          </cell>
        </row>
        <row r="226">
          <cell r="A226">
            <v>0</v>
          </cell>
          <cell r="B226">
            <v>2159</v>
          </cell>
          <cell r="C226">
            <v>98972900.76000005</v>
          </cell>
        </row>
      </sheetData>
      <sheetData sheetId="11">
        <row r="2">
          <cell r="A2" t="str">
            <v>New</v>
          </cell>
          <cell r="B2">
            <v>1649</v>
          </cell>
          <cell r="C2">
            <v>80174122.730000034</v>
          </cell>
        </row>
        <row r="3">
          <cell r="A3" t="str">
            <v>Used</v>
          </cell>
          <cell r="B3">
            <v>510</v>
          </cell>
          <cell r="C3">
            <v>18798778.02999999</v>
          </cell>
        </row>
      </sheetData>
      <sheetData sheetId="12">
        <row r="2">
          <cell r="A2" t="str">
            <v>Finance Lease</v>
          </cell>
          <cell r="B2">
            <v>21</v>
          </cell>
          <cell r="C2">
            <v>1287880.0599999998</v>
          </cell>
        </row>
        <row r="3">
          <cell r="A3" t="str">
            <v>Goods Mortgage</v>
          </cell>
          <cell r="B3">
            <v>2121</v>
          </cell>
          <cell r="C3">
            <v>95700218.39000003</v>
          </cell>
        </row>
        <row r="4">
          <cell r="A4" t="str">
            <v>Hire Purchase</v>
          </cell>
          <cell r="B4">
            <v>17</v>
          </cell>
          <cell r="C4">
            <v>1984802.3099999998</v>
          </cell>
        </row>
      </sheetData>
      <sheetData sheetId="13">
        <row r="2">
          <cell r="A2" t="str">
            <v>0 - 12 months</v>
          </cell>
          <cell r="B2">
            <v>830</v>
          </cell>
          <cell r="C2">
            <v>21973599.950000018</v>
          </cell>
        </row>
        <row r="3">
          <cell r="A3" t="str">
            <v>13 - 24 months</v>
          </cell>
          <cell r="B3">
            <v>1054</v>
          </cell>
          <cell r="C3">
            <v>56477836.069999985</v>
          </cell>
        </row>
        <row r="4">
          <cell r="A4" t="str">
            <v>25 - 36 months</v>
          </cell>
          <cell r="B4">
            <v>275</v>
          </cell>
          <cell r="C4">
            <v>20521464.739999998</v>
          </cell>
        </row>
      </sheetData>
      <sheetData sheetId="14">
        <row r="2">
          <cell r="A2" t="str">
            <v>01. 10% to 20%</v>
          </cell>
          <cell r="B2">
            <v>3</v>
          </cell>
          <cell r="C2">
            <v>71886.209999999992</v>
          </cell>
        </row>
        <row r="3">
          <cell r="A3" t="str">
            <v>02. 21% to 30%</v>
          </cell>
          <cell r="B3">
            <v>24</v>
          </cell>
          <cell r="C3">
            <v>572489.42000000004</v>
          </cell>
        </row>
        <row r="4">
          <cell r="A4" t="str">
            <v>03. 31% to 40%</v>
          </cell>
          <cell r="B4">
            <v>79</v>
          </cell>
          <cell r="C4">
            <v>2856297.0999999992</v>
          </cell>
        </row>
        <row r="5">
          <cell r="A5" t="str">
            <v>04. 41% to 50%</v>
          </cell>
          <cell r="B5">
            <v>174</v>
          </cell>
          <cell r="C5">
            <v>7132791.8400000017</v>
          </cell>
        </row>
        <row r="6">
          <cell r="A6" t="str">
            <v>05. 51% to 60%</v>
          </cell>
          <cell r="B6">
            <v>226</v>
          </cell>
          <cell r="C6">
            <v>11606197.869999997</v>
          </cell>
        </row>
        <row r="7">
          <cell r="A7" t="str">
            <v>06. 61% to 70%</v>
          </cell>
          <cell r="B7">
            <v>282</v>
          </cell>
          <cell r="C7">
            <v>12843365.240000006</v>
          </cell>
        </row>
        <row r="8">
          <cell r="A8" t="str">
            <v>07. 71% to 80%</v>
          </cell>
          <cell r="B8">
            <v>326</v>
          </cell>
          <cell r="C8">
            <v>13751801.340000002</v>
          </cell>
        </row>
        <row r="9">
          <cell r="A9" t="str">
            <v>08. 81% to 90%</v>
          </cell>
          <cell r="B9">
            <v>375</v>
          </cell>
          <cell r="C9">
            <v>18163324.400000006</v>
          </cell>
        </row>
        <row r="10">
          <cell r="A10" t="str">
            <v>09. 91% to 100%</v>
          </cell>
          <cell r="B10">
            <v>670</v>
          </cell>
          <cell r="C10">
            <v>31974747.340000026</v>
          </cell>
        </row>
      </sheetData>
      <sheetData sheetId="15">
        <row r="2">
          <cell r="A2" t="str">
            <v>6 Consecutive</v>
          </cell>
          <cell r="B2">
            <v>19</v>
          </cell>
          <cell r="C2">
            <v>607170.59</v>
          </cell>
        </row>
        <row r="3">
          <cell r="A3" t="str">
            <v>Annual</v>
          </cell>
          <cell r="B3">
            <v>1239</v>
          </cell>
          <cell r="C3">
            <v>70849316.929999977</v>
          </cell>
        </row>
        <row r="4">
          <cell r="A4" t="str">
            <v>Monthly</v>
          </cell>
          <cell r="B4">
            <v>734</v>
          </cell>
          <cell r="C4">
            <v>18865128.639999997</v>
          </cell>
        </row>
        <row r="5">
          <cell r="A5" t="str">
            <v>Quarterly</v>
          </cell>
          <cell r="B5">
            <v>33</v>
          </cell>
          <cell r="C5">
            <v>1401786.0499999998</v>
          </cell>
        </row>
        <row r="6">
          <cell r="A6" t="str">
            <v>Semi Annual</v>
          </cell>
          <cell r="B6">
            <v>91</v>
          </cell>
          <cell r="C6">
            <v>5675300.2800000003</v>
          </cell>
        </row>
        <row r="7">
          <cell r="A7" t="str">
            <v>Structured</v>
          </cell>
          <cell r="B7">
            <v>43</v>
          </cell>
          <cell r="C7">
            <v>1574198.2699999993</v>
          </cell>
        </row>
      </sheetData>
      <sheetData sheetId="16">
        <row r="7">
          <cell r="E7">
            <v>2458615.9200000004</v>
          </cell>
        </row>
      </sheetData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graphic Distribution"/>
      <sheetName val="Collateral Type"/>
      <sheetName val="Top Industry"/>
      <sheetName val="Residual"/>
      <sheetName val="Balance Distribution"/>
      <sheetName val="Maturity Quarter"/>
      <sheetName val="Seasoning Distribution"/>
      <sheetName val="Arrears"/>
      <sheetName val="Obligor"/>
      <sheetName val="Source"/>
      <sheetName val="New v Used"/>
      <sheetName val="Loan Type"/>
    </sheetNames>
    <sheetDataSet>
      <sheetData sheetId="0">
        <row r="2">
          <cell r="A2" t="str">
            <v>ACT</v>
          </cell>
          <cell r="B2">
            <v>6</v>
          </cell>
          <cell r="C2">
            <v>243466.64999999997</v>
          </cell>
        </row>
        <row r="3">
          <cell r="A3" t="str">
            <v>NSW</v>
          </cell>
          <cell r="B3">
            <v>985</v>
          </cell>
          <cell r="C3">
            <v>62268352.360000014</v>
          </cell>
        </row>
        <row r="4">
          <cell r="A4" t="str">
            <v>NT</v>
          </cell>
          <cell r="B4">
            <v>1</v>
          </cell>
          <cell r="C4">
            <v>97905.379999999976</v>
          </cell>
        </row>
        <row r="5">
          <cell r="A5" t="str">
            <v>QLD</v>
          </cell>
          <cell r="B5">
            <v>450</v>
          </cell>
          <cell r="C5">
            <v>21338348.52</v>
          </cell>
        </row>
        <row r="6">
          <cell r="A6" t="str">
            <v>SA</v>
          </cell>
          <cell r="B6">
            <v>491</v>
          </cell>
          <cell r="C6">
            <v>31337755.710000012</v>
          </cell>
        </row>
        <row r="7">
          <cell r="A7" t="str">
            <v>TAS</v>
          </cell>
          <cell r="B7">
            <v>59</v>
          </cell>
          <cell r="C7">
            <v>1852704.9899999998</v>
          </cell>
        </row>
        <row r="8">
          <cell r="A8" t="str">
            <v>VIC</v>
          </cell>
          <cell r="B8">
            <v>670</v>
          </cell>
          <cell r="C8">
            <v>41893581.840000011</v>
          </cell>
        </row>
        <row r="9">
          <cell r="A9" t="str">
            <v>WA</v>
          </cell>
          <cell r="B9">
            <v>362</v>
          </cell>
          <cell r="C9">
            <v>25770829.520000018</v>
          </cell>
        </row>
      </sheetData>
      <sheetData sheetId="1">
        <row r="2">
          <cell r="A2" t="str">
            <v>100&lt;140 HP TRACTOR</v>
          </cell>
          <cell r="B2">
            <v>434</v>
          </cell>
          <cell r="C2">
            <v>18167219.780000005</v>
          </cell>
        </row>
        <row r="3">
          <cell r="A3" t="str">
            <v>4 EWD TRACTORS</v>
          </cell>
          <cell r="B3">
            <v>331</v>
          </cell>
          <cell r="C3">
            <v>27936855.320000011</v>
          </cell>
        </row>
        <row r="4">
          <cell r="A4" t="str">
            <v>40&lt;60 HP TRACTOR</v>
          </cell>
          <cell r="B4">
            <v>106</v>
          </cell>
          <cell r="C4">
            <v>1551907.9099999992</v>
          </cell>
        </row>
        <row r="5">
          <cell r="A5" t="str">
            <v>4WD Vehicle</v>
          </cell>
          <cell r="B5">
            <v>1</v>
          </cell>
          <cell r="C5">
            <v>36918.439999999981</v>
          </cell>
        </row>
        <row r="6">
          <cell r="A6" t="str">
            <v>60&lt;100 HP TRACTOR</v>
          </cell>
          <cell r="B6">
            <v>393</v>
          </cell>
          <cell r="C6">
            <v>9495304.8400000017</v>
          </cell>
        </row>
        <row r="7">
          <cell r="A7" t="str">
            <v>BACKHOES</v>
          </cell>
          <cell r="B7">
            <v>5</v>
          </cell>
          <cell r="C7">
            <v>239317.45</v>
          </cell>
        </row>
        <row r="8">
          <cell r="A8" t="str">
            <v>BALERS, WINDROWERS, MOWERS, RAKES</v>
          </cell>
          <cell r="B8">
            <v>274</v>
          </cell>
          <cell r="C8">
            <v>7716642.8799999999</v>
          </cell>
        </row>
        <row r="9">
          <cell r="A9" t="str">
            <v>COMBINES</v>
          </cell>
          <cell r="B9">
            <v>349</v>
          </cell>
          <cell r="C9">
            <v>48211371.540000007</v>
          </cell>
        </row>
        <row r="10">
          <cell r="A10" t="str">
            <v>COMMERCIAL VEHICLE</v>
          </cell>
          <cell r="B10">
            <v>23</v>
          </cell>
          <cell r="C10">
            <v>391804.40999999986</v>
          </cell>
        </row>
        <row r="11">
          <cell r="A11" t="str">
            <v>COTTON PICKERS</v>
          </cell>
          <cell r="B11">
            <v>5</v>
          </cell>
          <cell r="C11">
            <v>300102.99</v>
          </cell>
        </row>
        <row r="12">
          <cell r="A12" t="str">
            <v>CRAWLERS / DOZERS</v>
          </cell>
          <cell r="B12">
            <v>5</v>
          </cell>
          <cell r="C12">
            <v>1276514.8700000001</v>
          </cell>
        </row>
        <row r="13">
          <cell r="A13" t="str">
            <v>CULTIVATORS,SEEDERS, HARROWS</v>
          </cell>
          <cell r="B13">
            <v>150</v>
          </cell>
          <cell r="C13">
            <v>8177042.2799999993</v>
          </cell>
        </row>
        <row r="14">
          <cell r="A14" t="str">
            <v>DRILL</v>
          </cell>
          <cell r="B14">
            <v>9</v>
          </cell>
          <cell r="C14">
            <v>437312.55999999994</v>
          </cell>
        </row>
        <row r="15">
          <cell r="A15" t="str">
            <v>DUMP TRUCKS</v>
          </cell>
          <cell r="B15">
            <v>7</v>
          </cell>
          <cell r="C15">
            <v>1153339.4500000002</v>
          </cell>
        </row>
        <row r="16">
          <cell r="A16" t="str">
            <v>EXCAVATORS / GRADERS</v>
          </cell>
          <cell r="B16">
            <v>65</v>
          </cell>
          <cell r="C16">
            <v>4631879.5999999996</v>
          </cell>
        </row>
        <row r="17">
          <cell r="A17" t="str">
            <v>FEEDERS, MIXERS, WAGONS, BINS, FEED STORAGE</v>
          </cell>
          <cell r="B17">
            <v>14</v>
          </cell>
          <cell r="C17">
            <v>375815.14999999985</v>
          </cell>
        </row>
        <row r="18">
          <cell r="A18" t="str">
            <v>FRONT END LOADER</v>
          </cell>
          <cell r="B18">
            <v>10</v>
          </cell>
          <cell r="C18">
            <v>357873.56</v>
          </cell>
        </row>
        <row r="19">
          <cell r="A19" t="str">
            <v>FRONTS</v>
          </cell>
          <cell r="B19">
            <v>47</v>
          </cell>
          <cell r="C19">
            <v>1730156.42</v>
          </cell>
        </row>
        <row r="20">
          <cell r="A20" t="str">
            <v>GUIDANCE SYSTEMS</v>
          </cell>
          <cell r="B20">
            <v>52</v>
          </cell>
          <cell r="C20">
            <v>863974.79000000039</v>
          </cell>
        </row>
        <row r="21">
          <cell r="A21" t="str">
            <v>HARVESTERS - Other</v>
          </cell>
          <cell r="B21">
            <v>22</v>
          </cell>
          <cell r="C21">
            <v>1601611.8999999997</v>
          </cell>
        </row>
        <row r="22">
          <cell r="A22" t="str">
            <v>IRRIGATION EQUIPMENT</v>
          </cell>
          <cell r="B22">
            <v>2</v>
          </cell>
          <cell r="C22">
            <v>43856.049999999996</v>
          </cell>
        </row>
        <row r="23">
          <cell r="A23" t="str">
            <v>MATERIALS HANDLING EQUIPMENT</v>
          </cell>
          <cell r="B23">
            <v>11</v>
          </cell>
          <cell r="C23">
            <v>1020696.8999999999</v>
          </cell>
        </row>
        <row r="24">
          <cell r="A24" t="str">
            <v>OTHER AG</v>
          </cell>
          <cell r="B24">
            <v>38</v>
          </cell>
          <cell r="C24">
            <v>1357974.9599999997</v>
          </cell>
        </row>
        <row r="25">
          <cell r="A25" t="str">
            <v>OTHER CE</v>
          </cell>
          <cell r="B25">
            <v>5</v>
          </cell>
          <cell r="C25">
            <v>342446.37999999995</v>
          </cell>
        </row>
        <row r="26">
          <cell r="A26" t="str">
            <v>OVER 140 HP TRACTOR</v>
          </cell>
          <cell r="B26">
            <v>456</v>
          </cell>
          <cell r="C26">
            <v>33818294.329999991</v>
          </cell>
        </row>
        <row r="27">
          <cell r="A27" t="str">
            <v>ROLLERS</v>
          </cell>
          <cell r="B27">
            <v>3</v>
          </cell>
          <cell r="C27">
            <v>105505.02999999997</v>
          </cell>
        </row>
        <row r="28">
          <cell r="A28" t="str">
            <v>SCRAPERS</v>
          </cell>
          <cell r="B28">
            <v>4</v>
          </cell>
          <cell r="C28">
            <v>520902.24000000005</v>
          </cell>
        </row>
        <row r="29">
          <cell r="A29" t="str">
            <v>SKIDSTEER / UNILOADER</v>
          </cell>
          <cell r="B29">
            <v>30</v>
          </cell>
          <cell r="C29">
            <v>825717.48999999987</v>
          </cell>
        </row>
        <row r="30">
          <cell r="A30" t="str">
            <v>SPRAYING EQUIPMENT</v>
          </cell>
          <cell r="B30">
            <v>110</v>
          </cell>
          <cell r="C30">
            <v>10765196.690000005</v>
          </cell>
        </row>
        <row r="31">
          <cell r="A31" t="str">
            <v>UNDER 40 HP TRACTORS</v>
          </cell>
          <cell r="B31">
            <v>50</v>
          </cell>
          <cell r="C31">
            <v>565795.24</v>
          </cell>
        </row>
        <row r="32">
          <cell r="A32" t="str">
            <v>WHEEL LOADERS</v>
          </cell>
          <cell r="B32">
            <v>13</v>
          </cell>
          <cell r="C32">
            <v>783593.5199999999</v>
          </cell>
        </row>
      </sheetData>
      <sheetData sheetId="2">
        <row r="2">
          <cell r="A2" t="str">
            <v>AGRICULTURAL MACHINERY</v>
          </cell>
          <cell r="B2">
            <v>2853</v>
          </cell>
          <cell r="C2">
            <v>173511227.63000003</v>
          </cell>
        </row>
        <row r="3">
          <cell r="A3" t="str">
            <v>CONSTRUCTION EQUIPMENT</v>
          </cell>
          <cell r="B3">
            <v>148</v>
          </cell>
          <cell r="C3">
            <v>10899912.930000003</v>
          </cell>
        </row>
        <row r="4">
          <cell r="A4" t="str">
            <v>MOTOR VEHICLE - AG</v>
          </cell>
          <cell r="B4">
            <v>23</v>
          </cell>
          <cell r="C4">
            <v>391804.40999999986</v>
          </cell>
        </row>
      </sheetData>
      <sheetData sheetId="3">
        <row r="2">
          <cell r="A2" t="str">
            <v>0</v>
          </cell>
          <cell r="B2">
            <v>2796</v>
          </cell>
          <cell r="C2">
            <v>157061515.37000012</v>
          </cell>
        </row>
        <row r="3">
          <cell r="A3" t="str">
            <v>0 to 5</v>
          </cell>
          <cell r="B3">
            <v>1</v>
          </cell>
          <cell r="C3">
            <v>135258.66</v>
          </cell>
        </row>
        <row r="4">
          <cell r="A4" t="str">
            <v>11 to 15</v>
          </cell>
          <cell r="B4">
            <v>16</v>
          </cell>
          <cell r="C4">
            <v>782520.4</v>
          </cell>
        </row>
        <row r="5">
          <cell r="A5" t="str">
            <v>16 to 20</v>
          </cell>
          <cell r="B5">
            <v>35</v>
          </cell>
          <cell r="C5">
            <v>3764897.58</v>
          </cell>
        </row>
        <row r="6">
          <cell r="A6" t="str">
            <v>21 to 25</v>
          </cell>
          <cell r="B6">
            <v>37</v>
          </cell>
          <cell r="C6">
            <v>5135674.8000000007</v>
          </cell>
        </row>
        <row r="7">
          <cell r="A7" t="str">
            <v>26 to 30</v>
          </cell>
          <cell r="B7">
            <v>76</v>
          </cell>
          <cell r="C7">
            <v>9774257.4600000009</v>
          </cell>
        </row>
        <row r="8">
          <cell r="A8" t="str">
            <v>31 to 35</v>
          </cell>
          <cell r="B8">
            <v>28</v>
          </cell>
          <cell r="C8">
            <v>3924214.1199999996</v>
          </cell>
        </row>
        <row r="9">
          <cell r="A9" t="str">
            <v>36 to 40</v>
          </cell>
          <cell r="B9">
            <v>17</v>
          </cell>
          <cell r="C9">
            <v>2429847.9500000002</v>
          </cell>
        </row>
        <row r="10">
          <cell r="A10" t="str">
            <v>41+ %</v>
          </cell>
          <cell r="B10">
            <v>9</v>
          </cell>
          <cell r="C10">
            <v>1190013.49</v>
          </cell>
        </row>
        <row r="11">
          <cell r="A11" t="str">
            <v>6 to 10</v>
          </cell>
          <cell r="B11">
            <v>9</v>
          </cell>
          <cell r="C11">
            <v>604745.1399999999</v>
          </cell>
        </row>
      </sheetData>
      <sheetData sheetId="4">
        <row r="2">
          <cell r="A2" t="str">
            <v>$0 - $25,000</v>
          </cell>
          <cell r="B2">
            <v>1067</v>
          </cell>
          <cell r="C2">
            <v>14104298.710000006</v>
          </cell>
        </row>
        <row r="3">
          <cell r="A3" t="str">
            <v>$100,001 - $125,000</v>
          </cell>
          <cell r="B3">
            <v>166</v>
          </cell>
          <cell r="C3">
            <v>18683931.990000002</v>
          </cell>
        </row>
        <row r="4">
          <cell r="A4" t="str">
            <v>$125,001 - $150,000</v>
          </cell>
          <cell r="B4">
            <v>111</v>
          </cell>
          <cell r="C4">
            <v>15181890.920000007</v>
          </cell>
        </row>
        <row r="5">
          <cell r="A5" t="str">
            <v>$150,001 - $200,000</v>
          </cell>
          <cell r="B5">
            <v>143</v>
          </cell>
          <cell r="C5">
            <v>24525173.510000009</v>
          </cell>
        </row>
        <row r="6">
          <cell r="A6" t="str">
            <v>$200,001 - $300,000</v>
          </cell>
          <cell r="B6">
            <v>99</v>
          </cell>
          <cell r="C6">
            <v>23808448.029999997</v>
          </cell>
        </row>
        <row r="7">
          <cell r="A7" t="str">
            <v>$25,001 - $50,000</v>
          </cell>
          <cell r="B7">
            <v>733</v>
          </cell>
          <cell r="C7">
            <v>26366646.51999997</v>
          </cell>
        </row>
        <row r="8">
          <cell r="A8" t="str">
            <v>$300,001 - $400,000</v>
          </cell>
          <cell r="B8">
            <v>34</v>
          </cell>
          <cell r="C8">
            <v>11338211.829999998</v>
          </cell>
        </row>
        <row r="9">
          <cell r="A9" t="str">
            <v>$400,001 - $500,000</v>
          </cell>
          <cell r="B9">
            <v>6</v>
          </cell>
          <cell r="C9">
            <v>2738793.0199999996</v>
          </cell>
        </row>
        <row r="10">
          <cell r="A10" t="str">
            <v>$50,001 - $75,000</v>
          </cell>
          <cell r="B10">
            <v>427</v>
          </cell>
          <cell r="C10">
            <v>26156879.650000006</v>
          </cell>
        </row>
        <row r="11">
          <cell r="A11" t="str">
            <v>$500,001+</v>
          </cell>
          <cell r="B11">
            <v>2</v>
          </cell>
          <cell r="C11">
            <v>1446046.2400000007</v>
          </cell>
        </row>
        <row r="12">
          <cell r="A12" t="str">
            <v>$75,001 - $100,000</v>
          </cell>
          <cell r="B12">
            <v>236</v>
          </cell>
          <cell r="C12">
            <v>20452624.549999997</v>
          </cell>
        </row>
      </sheetData>
      <sheetData sheetId="5">
        <row r="2">
          <cell r="A2" t="str">
            <v>Q12013</v>
          </cell>
          <cell r="B2">
            <v>86</v>
          </cell>
          <cell r="C2">
            <v>1588780.6300000008</v>
          </cell>
        </row>
        <row r="3">
          <cell r="A3" t="str">
            <v>Q12014</v>
          </cell>
          <cell r="B3">
            <v>236</v>
          </cell>
          <cell r="C3">
            <v>7055996.3000000017</v>
          </cell>
        </row>
        <row r="4">
          <cell r="A4" t="str">
            <v>Q12015</v>
          </cell>
          <cell r="B4">
            <v>554</v>
          </cell>
          <cell r="C4">
            <v>41228796.280000016</v>
          </cell>
        </row>
        <row r="5">
          <cell r="A5" t="str">
            <v>Q12016</v>
          </cell>
          <cell r="B5">
            <v>313</v>
          </cell>
          <cell r="C5">
            <v>29805647.300000016</v>
          </cell>
        </row>
        <row r="6">
          <cell r="A6" t="str">
            <v>Q22012</v>
          </cell>
          <cell r="B6">
            <v>1</v>
          </cell>
          <cell r="C6">
            <v>11855.71</v>
          </cell>
        </row>
        <row r="7">
          <cell r="A7" t="str">
            <v>Q22013</v>
          </cell>
          <cell r="B7">
            <v>155</v>
          </cell>
          <cell r="C7">
            <v>2551664.5499999989</v>
          </cell>
        </row>
        <row r="8">
          <cell r="A8" t="str">
            <v>Q22014</v>
          </cell>
          <cell r="B8">
            <v>223</v>
          </cell>
          <cell r="C8">
            <v>7837696.6400000025</v>
          </cell>
        </row>
        <row r="9">
          <cell r="A9" t="str">
            <v>Q22015</v>
          </cell>
          <cell r="B9">
            <v>366</v>
          </cell>
          <cell r="C9">
            <v>26634494.78999998</v>
          </cell>
        </row>
        <row r="10">
          <cell r="A10" t="str">
            <v>Q22016</v>
          </cell>
          <cell r="B10">
            <v>206</v>
          </cell>
          <cell r="C10">
            <v>20350702.689999986</v>
          </cell>
        </row>
        <row r="11">
          <cell r="A11" t="str">
            <v>Q32013</v>
          </cell>
          <cell r="B11">
            <v>102</v>
          </cell>
          <cell r="C11">
            <v>1645276.39</v>
          </cell>
        </row>
        <row r="12">
          <cell r="A12" t="str">
            <v>Q32014</v>
          </cell>
          <cell r="B12">
            <v>120</v>
          </cell>
          <cell r="C12">
            <v>4715831.1700000009</v>
          </cell>
        </row>
        <row r="13">
          <cell r="A13" t="str">
            <v>Q32015</v>
          </cell>
          <cell r="B13">
            <v>183</v>
          </cell>
          <cell r="C13">
            <v>14478190.069999993</v>
          </cell>
        </row>
        <row r="14">
          <cell r="A14" t="str">
            <v>Q32016</v>
          </cell>
          <cell r="B14">
            <v>1</v>
          </cell>
          <cell r="C14">
            <v>56444.869999999995</v>
          </cell>
        </row>
        <row r="15">
          <cell r="A15" t="str">
            <v>Q42012</v>
          </cell>
          <cell r="B15">
            <v>1</v>
          </cell>
          <cell r="C15">
            <v>16564.809999999998</v>
          </cell>
        </row>
        <row r="16">
          <cell r="A16" t="str">
            <v>Q42013</v>
          </cell>
          <cell r="B16">
            <v>106</v>
          </cell>
          <cell r="C16">
            <v>1713140.7399999993</v>
          </cell>
        </row>
        <row r="17">
          <cell r="A17" t="str">
            <v>Q42014</v>
          </cell>
          <cell r="B17">
            <v>128</v>
          </cell>
          <cell r="C17">
            <v>6285127.7899999982</v>
          </cell>
        </row>
        <row r="18">
          <cell r="A18" t="str">
            <v>Q42015</v>
          </cell>
          <cell r="B18">
            <v>243</v>
          </cell>
          <cell r="C18">
            <v>18826734.239999991</v>
          </cell>
        </row>
      </sheetData>
      <sheetData sheetId="6">
        <row r="2">
          <cell r="A2" t="str">
            <v>19 to 24 months</v>
          </cell>
          <cell r="B2">
            <v>814</v>
          </cell>
          <cell r="C2">
            <v>58805576.039999977</v>
          </cell>
        </row>
        <row r="3">
          <cell r="A3" t="str">
            <v>25 to 30 months</v>
          </cell>
          <cell r="B3">
            <v>1040</v>
          </cell>
          <cell r="C3">
            <v>66381702.889999956</v>
          </cell>
        </row>
        <row r="4">
          <cell r="A4" t="str">
            <v>31 to 36 months</v>
          </cell>
          <cell r="B4">
            <v>807</v>
          </cell>
          <cell r="C4">
            <v>42223872.329999983</v>
          </cell>
        </row>
        <row r="5">
          <cell r="A5" t="str">
            <v>37 to 42 months</v>
          </cell>
          <cell r="B5">
            <v>166</v>
          </cell>
          <cell r="C5">
            <v>10985282</v>
          </cell>
        </row>
        <row r="6">
          <cell r="A6" t="str">
            <v>43 to 48 months</v>
          </cell>
          <cell r="B6">
            <v>101</v>
          </cell>
          <cell r="C6">
            <v>3531174.98</v>
          </cell>
        </row>
        <row r="7">
          <cell r="A7" t="str">
            <v>49 to 54 months</v>
          </cell>
          <cell r="B7">
            <v>37</v>
          </cell>
          <cell r="C7">
            <v>1210142.1799999997</v>
          </cell>
        </row>
        <row r="8">
          <cell r="A8" t="str">
            <v>55 to 60 months</v>
          </cell>
          <cell r="B8">
            <v>28</v>
          </cell>
          <cell r="C8">
            <v>547717.34</v>
          </cell>
        </row>
        <row r="9">
          <cell r="A9" t="str">
            <v>60+ months</v>
          </cell>
          <cell r="B9">
            <v>31</v>
          </cell>
          <cell r="C9">
            <v>1117477.2100000002</v>
          </cell>
        </row>
      </sheetData>
      <sheetData sheetId="7">
        <row r="2">
          <cell r="A2" t="str">
            <v>0 - 30 Days</v>
          </cell>
          <cell r="B2">
            <v>710402.61000000022</v>
          </cell>
          <cell r="C2">
            <v>3012</v>
          </cell>
          <cell r="D2">
            <v>183655920.30000016</v>
          </cell>
        </row>
        <row r="3">
          <cell r="A3" t="str">
            <v>121 - 150 Days</v>
          </cell>
          <cell r="B3">
            <v>43972.85</v>
          </cell>
          <cell r="C3">
            <v>3</v>
          </cell>
          <cell r="D3">
            <v>170108.11</v>
          </cell>
        </row>
        <row r="4">
          <cell r="A4" t="str">
            <v>31 - 60 Days</v>
          </cell>
          <cell r="B4">
            <v>209790.15000000002</v>
          </cell>
          <cell r="C4">
            <v>8</v>
          </cell>
          <cell r="D4">
            <v>677701.89</v>
          </cell>
        </row>
        <row r="5">
          <cell r="A5" t="str">
            <v>61 - 90 Days</v>
          </cell>
          <cell r="B5">
            <v>90943.03</v>
          </cell>
          <cell r="C5">
            <v>1</v>
          </cell>
          <cell r="D5">
            <v>299214.67000000004</v>
          </cell>
        </row>
      </sheetData>
      <sheetData sheetId="8">
        <row r="2">
          <cell r="D2">
            <v>867024.74000000022</v>
          </cell>
        </row>
        <row r="3">
          <cell r="D3">
            <v>766787.97</v>
          </cell>
        </row>
        <row r="4">
          <cell r="D4">
            <v>628895.25</v>
          </cell>
        </row>
        <row r="5">
          <cell r="D5">
            <v>627361.84000000008</v>
          </cell>
        </row>
        <row r="6">
          <cell r="D6">
            <v>622391.64</v>
          </cell>
        </row>
      </sheetData>
      <sheetData sheetId="9">
        <row r="2">
          <cell r="A2" t="str">
            <v>Ag Sales and Rental</v>
          </cell>
          <cell r="B2">
            <v>15</v>
          </cell>
          <cell r="C2">
            <v>875737.5199999999</v>
          </cell>
        </row>
        <row r="3">
          <cell r="A3" t="str">
            <v>Agnorth</v>
          </cell>
          <cell r="B3">
            <v>9</v>
          </cell>
          <cell r="C3">
            <v>503976.28999999992</v>
          </cell>
        </row>
        <row r="4">
          <cell r="A4" t="str">
            <v>Agpower &amp; Transport</v>
          </cell>
          <cell r="B4">
            <v>5</v>
          </cell>
          <cell r="C4">
            <v>61526.62999999999</v>
          </cell>
        </row>
        <row r="5">
          <cell r="A5" t="str">
            <v>Agricultural Requirements</v>
          </cell>
          <cell r="B5">
            <v>21</v>
          </cell>
          <cell r="C5">
            <v>330211.00999999995</v>
          </cell>
        </row>
        <row r="6">
          <cell r="A6" t="str">
            <v>Agrimac Ballarat</v>
          </cell>
          <cell r="B6">
            <v>43</v>
          </cell>
          <cell r="C6">
            <v>2439458.48</v>
          </cell>
        </row>
        <row r="7">
          <cell r="A7" t="str">
            <v>Agrimac Warrnambool</v>
          </cell>
          <cell r="B7">
            <v>37</v>
          </cell>
          <cell r="C7">
            <v>1428190.2300000002</v>
          </cell>
        </row>
        <row r="8">
          <cell r="A8" t="str">
            <v>Agserv Industries - Kadina</v>
          </cell>
          <cell r="B8">
            <v>19</v>
          </cell>
          <cell r="C8">
            <v>1451375.0399999998</v>
          </cell>
        </row>
        <row r="9">
          <cell r="A9" t="str">
            <v>Ainsworth Motors - Chinchilla</v>
          </cell>
          <cell r="B9">
            <v>12</v>
          </cell>
          <cell r="C9">
            <v>463795.31</v>
          </cell>
        </row>
        <row r="10">
          <cell r="A10" t="str">
            <v>Alto Motors - Trafalgar</v>
          </cell>
          <cell r="B10">
            <v>18</v>
          </cell>
          <cell r="C10">
            <v>412233.26999999996</v>
          </cell>
        </row>
        <row r="11">
          <cell r="A11" t="str">
            <v>Aurisch &amp; Johnson (ardmore) Pl</v>
          </cell>
          <cell r="B11">
            <v>1</v>
          </cell>
          <cell r="C11">
            <v>64045.560000000005</v>
          </cell>
        </row>
        <row r="12">
          <cell r="A12" t="str">
            <v>AW Vater &amp; Co</v>
          </cell>
          <cell r="B12">
            <v>16</v>
          </cell>
          <cell r="C12">
            <v>1379309.2199999997</v>
          </cell>
        </row>
        <row r="13">
          <cell r="A13" t="str">
            <v>Ballarat Tractors &amp; Cons Equip</v>
          </cell>
          <cell r="B13">
            <v>20</v>
          </cell>
          <cell r="C13">
            <v>1086723.8799999999</v>
          </cell>
        </row>
        <row r="14">
          <cell r="A14" t="str">
            <v>Barberie Machinery (CIH)</v>
          </cell>
          <cell r="B14">
            <v>7</v>
          </cell>
          <cell r="C14">
            <v>59195.829999999987</v>
          </cell>
        </row>
        <row r="15">
          <cell r="A15" t="str">
            <v>Barberie Machinery (NH)</v>
          </cell>
          <cell r="B15">
            <v>1</v>
          </cell>
          <cell r="C15">
            <v>9127.32</v>
          </cell>
        </row>
        <row r="16">
          <cell r="A16" t="str">
            <v>Barossa Machinery Services</v>
          </cell>
          <cell r="B16">
            <v>1</v>
          </cell>
          <cell r="C16">
            <v>52866</v>
          </cell>
        </row>
        <row r="17">
          <cell r="A17" t="str">
            <v>Baxters Rural Centre</v>
          </cell>
          <cell r="B17">
            <v>6</v>
          </cell>
          <cell r="C17">
            <v>388340.97</v>
          </cell>
        </row>
        <row r="18">
          <cell r="A18" t="str">
            <v>BFG - AG &amp; CE</v>
          </cell>
          <cell r="B18">
            <v>24</v>
          </cell>
          <cell r="C18">
            <v>3370621.5</v>
          </cell>
        </row>
        <row r="19">
          <cell r="A19" t="str">
            <v>BFG - Transport</v>
          </cell>
          <cell r="B19">
            <v>2</v>
          </cell>
          <cell r="C19">
            <v>65982.16</v>
          </cell>
        </row>
        <row r="20">
          <cell r="A20" t="str">
            <v>Billabong Motors - Lockhart</v>
          </cell>
          <cell r="B20">
            <v>4</v>
          </cell>
          <cell r="C20">
            <v>802186.28</v>
          </cell>
        </row>
        <row r="21">
          <cell r="A21" t="str">
            <v>Black-Trac Archerfield</v>
          </cell>
          <cell r="B21">
            <v>8</v>
          </cell>
          <cell r="C21">
            <v>113640.40999999997</v>
          </cell>
        </row>
        <row r="22">
          <cell r="A22" t="str">
            <v>Black-Trac Caboolture</v>
          </cell>
          <cell r="B22">
            <v>6</v>
          </cell>
          <cell r="C22">
            <v>140978.81999999998</v>
          </cell>
        </row>
        <row r="23">
          <cell r="A23" t="str">
            <v>Black-Trac Rocklea</v>
          </cell>
          <cell r="B23">
            <v>1</v>
          </cell>
          <cell r="C23">
            <v>21547.419999999991</v>
          </cell>
        </row>
        <row r="24">
          <cell r="A24" t="str">
            <v>Black Truck &amp; AG Moree</v>
          </cell>
          <cell r="B24">
            <v>1</v>
          </cell>
          <cell r="C24">
            <v>154789.95000000004</v>
          </cell>
        </row>
        <row r="25">
          <cell r="A25" t="str">
            <v>BMS Adelaide</v>
          </cell>
          <cell r="B25">
            <v>2</v>
          </cell>
          <cell r="C25">
            <v>68458.929999999993</v>
          </cell>
        </row>
        <row r="26">
          <cell r="A26" t="str">
            <v>BMS AG &amp; Construction - Tanunda</v>
          </cell>
          <cell r="B26">
            <v>6</v>
          </cell>
          <cell r="C26">
            <v>493376.39999999997</v>
          </cell>
        </row>
        <row r="27">
          <cell r="A27" t="str">
            <v>Boekeman Machinery (Dalwallinu)</v>
          </cell>
          <cell r="B27">
            <v>16</v>
          </cell>
          <cell r="C27">
            <v>1583378</v>
          </cell>
        </row>
        <row r="28">
          <cell r="A28" t="str">
            <v>Boekeman Machinery (Dowerin)</v>
          </cell>
          <cell r="B28">
            <v>2</v>
          </cell>
          <cell r="C28">
            <v>162397.56</v>
          </cell>
        </row>
        <row r="29">
          <cell r="A29" t="str">
            <v>Boekeman Machinery (group)</v>
          </cell>
          <cell r="B29">
            <v>2</v>
          </cell>
          <cell r="C29">
            <v>175665.93000000002</v>
          </cell>
        </row>
        <row r="30">
          <cell r="A30" t="str">
            <v>Boekeman Machinery (Northam)</v>
          </cell>
          <cell r="B30">
            <v>12</v>
          </cell>
          <cell r="C30">
            <v>638816.13000000012</v>
          </cell>
        </row>
        <row r="31">
          <cell r="A31" t="str">
            <v>Boekeman Machinery (Wongan Hills)</v>
          </cell>
          <cell r="B31">
            <v>7</v>
          </cell>
          <cell r="C31">
            <v>347485.32</v>
          </cell>
        </row>
        <row r="32">
          <cell r="A32" t="str">
            <v>Brescianini Motors - Ingham</v>
          </cell>
          <cell r="B32">
            <v>15</v>
          </cell>
          <cell r="C32">
            <v>895879.71</v>
          </cell>
        </row>
        <row r="33">
          <cell r="A33" t="str">
            <v>Burnett Land &amp; Mach-Bundaberg</v>
          </cell>
          <cell r="B33">
            <v>8</v>
          </cell>
          <cell r="C33">
            <v>294926.74</v>
          </cell>
        </row>
        <row r="34">
          <cell r="A34" t="str">
            <v>Busselton Mach - Busselton</v>
          </cell>
          <cell r="B34">
            <v>4</v>
          </cell>
          <cell r="C34">
            <v>54897.080000000024</v>
          </cell>
        </row>
        <row r="35">
          <cell r="A35" t="str">
            <v>Carlisle Tractors - Mackay</v>
          </cell>
          <cell r="B35">
            <v>32</v>
          </cell>
          <cell r="C35">
            <v>1015474.86</v>
          </cell>
        </row>
        <row r="36">
          <cell r="A36" t="str">
            <v>Carruthers Machinery</v>
          </cell>
          <cell r="B36">
            <v>35</v>
          </cell>
          <cell r="C36">
            <v>2848268.26</v>
          </cell>
        </row>
        <row r="37">
          <cell r="A37" t="str">
            <v>Carruthers Machinery Cowra</v>
          </cell>
          <cell r="B37">
            <v>31</v>
          </cell>
          <cell r="C37">
            <v>1362203.3</v>
          </cell>
        </row>
        <row r="38">
          <cell r="A38" t="str">
            <v>Case Victoria</v>
          </cell>
          <cell r="B38">
            <v>2</v>
          </cell>
          <cell r="C38">
            <v>143353.75</v>
          </cell>
        </row>
        <row r="39">
          <cell r="A39" t="str">
            <v>Chapman &amp; Slattery Mach Sales</v>
          </cell>
          <cell r="B39">
            <v>3</v>
          </cell>
          <cell r="C39">
            <v>47897.4</v>
          </cell>
        </row>
        <row r="40">
          <cell r="A40" t="str">
            <v>Cobram Rural</v>
          </cell>
          <cell r="B40">
            <v>8</v>
          </cell>
          <cell r="C40">
            <v>263767.19999999995</v>
          </cell>
        </row>
        <row r="41">
          <cell r="A41" t="str">
            <v>Codemo Machinery Services</v>
          </cell>
          <cell r="B41">
            <v>28</v>
          </cell>
          <cell r="C41">
            <v>2015053.74</v>
          </cell>
        </row>
        <row r="42">
          <cell r="A42" t="str">
            <v>Coote Motors - Brookton</v>
          </cell>
          <cell r="B42">
            <v>3</v>
          </cell>
          <cell r="C42">
            <v>134658.29999999999</v>
          </cell>
        </row>
        <row r="43">
          <cell r="A43" t="str">
            <v>Cornish's (Condobolin)</v>
          </cell>
          <cell r="B43">
            <v>20</v>
          </cell>
          <cell r="C43">
            <v>1923782.41</v>
          </cell>
        </row>
        <row r="44">
          <cell r="A44" t="str">
            <v>Cornish's (group)</v>
          </cell>
          <cell r="B44">
            <v>16</v>
          </cell>
          <cell r="C44">
            <v>512638.86</v>
          </cell>
        </row>
        <row r="45">
          <cell r="A45" t="str">
            <v>Cornish's (Gunnedah)</v>
          </cell>
          <cell r="B45">
            <v>19</v>
          </cell>
          <cell r="C45">
            <v>1465320.94</v>
          </cell>
        </row>
        <row r="46">
          <cell r="A46" t="str">
            <v>Cornish's (Narromine)</v>
          </cell>
          <cell r="B46">
            <v>15</v>
          </cell>
          <cell r="C46">
            <v>1988545.5100000002</v>
          </cell>
        </row>
        <row r="47">
          <cell r="A47" t="str">
            <v>Cornish's (Parkes)</v>
          </cell>
          <cell r="B47">
            <v>5</v>
          </cell>
          <cell r="C47">
            <v>234336.88999999996</v>
          </cell>
        </row>
        <row r="48">
          <cell r="A48" t="str">
            <v>Cornish's T/as Millers Mach</v>
          </cell>
          <cell r="B48">
            <v>5</v>
          </cell>
          <cell r="C48">
            <v>439286.96999999991</v>
          </cell>
        </row>
        <row r="49">
          <cell r="A49" t="str">
            <v>Cowra Machinery Centre</v>
          </cell>
          <cell r="B49">
            <v>25</v>
          </cell>
          <cell r="C49">
            <v>766777.58000000007</v>
          </cell>
        </row>
        <row r="50">
          <cell r="A50" t="str">
            <v>Crossbred Nom T/ Geoff Perkins</v>
          </cell>
          <cell r="B50">
            <v>9</v>
          </cell>
          <cell r="C50">
            <v>445701.77999999997</v>
          </cell>
        </row>
        <row r="51">
          <cell r="A51" t="str">
            <v>CSA Capital</v>
          </cell>
          <cell r="B51">
            <v>2</v>
          </cell>
          <cell r="C51">
            <v>91126.150000000052</v>
          </cell>
        </row>
        <row r="52">
          <cell r="A52" t="str">
            <v>Cunninghams Ag - Moora</v>
          </cell>
          <cell r="B52">
            <v>7</v>
          </cell>
          <cell r="C52">
            <v>346686.20000000007</v>
          </cell>
        </row>
        <row r="53">
          <cell r="A53" t="str">
            <v>Cunninghams Ag Three Springs</v>
          </cell>
          <cell r="B53">
            <v>8</v>
          </cell>
          <cell r="C53">
            <v>1006105.27</v>
          </cell>
        </row>
        <row r="54">
          <cell r="A54" t="str">
            <v>Curtis's - Cummins</v>
          </cell>
          <cell r="B54">
            <v>2</v>
          </cell>
          <cell r="C54">
            <v>983912.43000000017</v>
          </cell>
        </row>
        <row r="55">
          <cell r="A55" t="str">
            <v>Curtis's - Tumby Bay</v>
          </cell>
          <cell r="B55">
            <v>7</v>
          </cell>
          <cell r="C55">
            <v>656212.6399999999</v>
          </cell>
        </row>
        <row r="56">
          <cell r="A56" t="str">
            <v>David Evans Group - Biloela (NH)</v>
          </cell>
          <cell r="B56">
            <v>7</v>
          </cell>
          <cell r="C56">
            <v>146105.84000000003</v>
          </cell>
        </row>
        <row r="57">
          <cell r="A57" t="str">
            <v>David Evans Group - Biloela CIH</v>
          </cell>
          <cell r="B57">
            <v>2</v>
          </cell>
          <cell r="C57">
            <v>55164.440000000017</v>
          </cell>
        </row>
        <row r="58">
          <cell r="A58" t="str">
            <v>David Evans Group - Boonah</v>
          </cell>
          <cell r="B58">
            <v>7</v>
          </cell>
          <cell r="C58">
            <v>148436.97</v>
          </cell>
        </row>
        <row r="59">
          <cell r="A59" t="str">
            <v>David Evans Group - Gatton</v>
          </cell>
          <cell r="B59">
            <v>9</v>
          </cell>
          <cell r="C59">
            <v>163587.45999999996</v>
          </cell>
        </row>
        <row r="60">
          <cell r="A60" t="str">
            <v>David Evans Group - Millmerran</v>
          </cell>
          <cell r="B60">
            <v>4</v>
          </cell>
          <cell r="C60">
            <v>140685.90999999997</v>
          </cell>
        </row>
        <row r="61">
          <cell r="A61" t="str">
            <v>David Evans Group - Toowoomba</v>
          </cell>
          <cell r="B61">
            <v>11</v>
          </cell>
          <cell r="C61">
            <v>184495.93000000002</v>
          </cell>
        </row>
        <row r="62">
          <cell r="A62" t="str">
            <v>David Evans Group - Warwick</v>
          </cell>
          <cell r="B62">
            <v>8</v>
          </cell>
          <cell r="C62">
            <v>269637.55999999994</v>
          </cell>
        </row>
        <row r="63">
          <cell r="A63" t="str">
            <v>Days Machinery - Casino</v>
          </cell>
          <cell r="B63">
            <v>8</v>
          </cell>
          <cell r="C63">
            <v>154442.85000000003</v>
          </cell>
        </row>
        <row r="64">
          <cell r="A64" t="str">
            <v>De Rosa's Highway Motors</v>
          </cell>
          <cell r="B64">
            <v>7</v>
          </cell>
          <cell r="C64">
            <v>164734.96000000002</v>
          </cell>
        </row>
        <row r="65">
          <cell r="A65" t="str">
            <v>Direct - CC Internal Sales</v>
          </cell>
          <cell r="B65">
            <v>33</v>
          </cell>
          <cell r="C65">
            <v>1325453.5600000003</v>
          </cell>
        </row>
        <row r="66">
          <cell r="A66" t="str">
            <v>Direct - CC New South Wales</v>
          </cell>
          <cell r="B66">
            <v>3</v>
          </cell>
          <cell r="C66">
            <v>104256.74</v>
          </cell>
        </row>
        <row r="67">
          <cell r="A67" t="str">
            <v>Direct - CC Queensland</v>
          </cell>
          <cell r="B67">
            <v>9</v>
          </cell>
          <cell r="C67">
            <v>566305.15999999992</v>
          </cell>
        </row>
        <row r="68">
          <cell r="A68" t="str">
            <v>Direct - CC Tri States</v>
          </cell>
          <cell r="B68">
            <v>6</v>
          </cell>
          <cell r="C68">
            <v>362080.39999999991</v>
          </cell>
        </row>
        <row r="69">
          <cell r="A69" t="str">
            <v>Direct - NHF Internal Sales</v>
          </cell>
          <cell r="B69">
            <v>19</v>
          </cell>
          <cell r="C69">
            <v>666493.44999999995</v>
          </cell>
        </row>
        <row r="70">
          <cell r="A70" t="str">
            <v>Direct - NHF New South Wales</v>
          </cell>
          <cell r="B70">
            <v>7</v>
          </cell>
          <cell r="C70">
            <v>194763.66999999998</v>
          </cell>
        </row>
        <row r="71">
          <cell r="A71" t="str">
            <v>Direct - NHF Queensland</v>
          </cell>
          <cell r="B71">
            <v>3</v>
          </cell>
          <cell r="C71">
            <v>115369.65999999999</v>
          </cell>
        </row>
        <row r="72">
          <cell r="A72" t="str">
            <v>Direct - NHF Tri States</v>
          </cell>
          <cell r="B72">
            <v>7</v>
          </cell>
          <cell r="C72">
            <v>290651.73</v>
          </cell>
        </row>
        <row r="73">
          <cell r="A73" t="str">
            <v>Direct - Western Australia</v>
          </cell>
          <cell r="B73">
            <v>5</v>
          </cell>
          <cell r="C73">
            <v>152703.14000000001</v>
          </cell>
        </row>
        <row r="74">
          <cell r="A74" t="str">
            <v>DJ Grech</v>
          </cell>
          <cell r="B74">
            <v>8</v>
          </cell>
          <cell r="C74">
            <v>115299.95</v>
          </cell>
        </row>
        <row r="75">
          <cell r="A75" t="str">
            <v>Dover &amp; Sons - Beaudesert</v>
          </cell>
          <cell r="B75">
            <v>4</v>
          </cell>
          <cell r="C75">
            <v>81246.73000000001</v>
          </cell>
        </row>
        <row r="76">
          <cell r="A76" t="str">
            <v>Dover &amp; Sons - Boonah</v>
          </cell>
          <cell r="B76">
            <v>4</v>
          </cell>
          <cell r="C76">
            <v>123839.89000000004</v>
          </cell>
        </row>
        <row r="77">
          <cell r="A77" t="str">
            <v>Duncan &amp; Duncan - Walgett</v>
          </cell>
          <cell r="B77">
            <v>6</v>
          </cell>
          <cell r="C77">
            <v>326797.99000000005</v>
          </cell>
        </row>
        <row r="78">
          <cell r="A78" t="str">
            <v>Dunlop &amp; Isbel - St Arnaud</v>
          </cell>
          <cell r="B78">
            <v>5</v>
          </cell>
          <cell r="C78">
            <v>434838.1399999999</v>
          </cell>
        </row>
        <row r="79">
          <cell r="A79" t="str">
            <v>Echuca CIH - Echuca</v>
          </cell>
          <cell r="B79">
            <v>29</v>
          </cell>
          <cell r="C79">
            <v>1959561.6200000003</v>
          </cell>
        </row>
        <row r="80">
          <cell r="A80" t="str">
            <v>Echuca Rural (Echuca)</v>
          </cell>
          <cell r="B80">
            <v>43</v>
          </cell>
          <cell r="C80">
            <v>1044513.7300000001</v>
          </cell>
        </row>
        <row r="81">
          <cell r="A81" t="str">
            <v>Errol Matschoss - Waikerie</v>
          </cell>
          <cell r="B81">
            <v>5</v>
          </cell>
          <cell r="C81">
            <v>261925.68</v>
          </cell>
        </row>
        <row r="82">
          <cell r="A82" t="str">
            <v>Farm Machinery Tasmania</v>
          </cell>
          <cell r="B82">
            <v>20</v>
          </cell>
          <cell r="C82">
            <v>549097.19000000006</v>
          </cell>
        </row>
        <row r="83">
          <cell r="A83" t="str">
            <v>Farmers Centre (1978) - Albany</v>
          </cell>
          <cell r="B83">
            <v>11</v>
          </cell>
          <cell r="C83">
            <v>1181527.2799999998</v>
          </cell>
        </row>
        <row r="84">
          <cell r="A84" t="str">
            <v>Farmers Centre (1978) - Dumbleyung</v>
          </cell>
          <cell r="B84">
            <v>1</v>
          </cell>
          <cell r="C84">
            <v>83791.47</v>
          </cell>
        </row>
        <row r="85">
          <cell r="A85" t="str">
            <v>Farmers Centre (1978) - Katanning</v>
          </cell>
          <cell r="B85">
            <v>8</v>
          </cell>
          <cell r="C85">
            <v>506918.20999999996</v>
          </cell>
        </row>
        <row r="86">
          <cell r="A86" t="str">
            <v>Farmers Centre (1978) - Lake Grace</v>
          </cell>
          <cell r="B86">
            <v>2</v>
          </cell>
          <cell r="C86">
            <v>118936.48999999998</v>
          </cell>
        </row>
        <row r="87">
          <cell r="A87" t="str">
            <v>Farmers Centre (Narrogin)</v>
          </cell>
          <cell r="B87">
            <v>5</v>
          </cell>
          <cell r="C87">
            <v>296869.69999999995</v>
          </cell>
        </row>
        <row r="88">
          <cell r="A88" t="str">
            <v>Farmers Centre (WA) - Esperance</v>
          </cell>
          <cell r="B88">
            <v>11</v>
          </cell>
          <cell r="C88">
            <v>1009984.71</v>
          </cell>
        </row>
        <row r="89">
          <cell r="A89" t="str">
            <v>Farmers Centre (WA) - Ravensthorpe</v>
          </cell>
          <cell r="B89">
            <v>6</v>
          </cell>
          <cell r="C89">
            <v>692254.75</v>
          </cell>
        </row>
        <row r="90">
          <cell r="A90" t="str">
            <v>Farmpower - Kulin</v>
          </cell>
          <cell r="B90">
            <v>2</v>
          </cell>
          <cell r="C90">
            <v>171075.42</v>
          </cell>
        </row>
        <row r="91">
          <cell r="A91" t="str">
            <v>Farmpower - Quairading</v>
          </cell>
          <cell r="B91">
            <v>7</v>
          </cell>
          <cell r="C91">
            <v>515807.27</v>
          </cell>
        </row>
        <row r="92">
          <cell r="A92" t="str">
            <v>Fentons Farm Machinery</v>
          </cell>
          <cell r="B92">
            <v>1</v>
          </cell>
          <cell r="C92">
            <v>15012</v>
          </cell>
        </row>
        <row r="93">
          <cell r="A93" t="str">
            <v>Five Star Enterprises (Moree)</v>
          </cell>
          <cell r="B93">
            <v>2</v>
          </cell>
          <cell r="C93">
            <v>138273.43</v>
          </cell>
        </row>
        <row r="94">
          <cell r="A94" t="str">
            <v>Flinders Machinery</v>
          </cell>
          <cell r="B94">
            <v>15</v>
          </cell>
          <cell r="C94">
            <v>1271360.9899999998</v>
          </cell>
        </row>
        <row r="95">
          <cell r="A95" t="str">
            <v>Forbes Machinery</v>
          </cell>
          <cell r="B95">
            <v>31</v>
          </cell>
          <cell r="C95">
            <v>1099583.9999999998</v>
          </cell>
        </row>
        <row r="96">
          <cell r="A96" t="str">
            <v>Fox Finance &amp; Leasing</v>
          </cell>
          <cell r="B96">
            <v>2</v>
          </cell>
          <cell r="C96">
            <v>162378.49000000002</v>
          </cell>
        </row>
        <row r="97">
          <cell r="A97" t="str">
            <v>Gaffney (machinery) - Somerset</v>
          </cell>
          <cell r="B97">
            <v>24</v>
          </cell>
          <cell r="C97">
            <v>717315.68999999983</v>
          </cell>
        </row>
        <row r="98">
          <cell r="A98" t="str">
            <v>GBC Motors - Mildura</v>
          </cell>
          <cell r="B98">
            <v>38</v>
          </cell>
          <cell r="C98">
            <v>2298452.09</v>
          </cell>
        </row>
        <row r="99">
          <cell r="A99" t="str">
            <v>Gendore Tractors &amp; Mach. 3980</v>
          </cell>
          <cell r="B99">
            <v>1</v>
          </cell>
          <cell r="C99">
            <v>8124.1299999999992</v>
          </cell>
        </row>
        <row r="100">
          <cell r="A100" t="str">
            <v>Gendore Tractors &amp; Mach. LGTHA</v>
          </cell>
          <cell r="B100">
            <v>23</v>
          </cell>
          <cell r="C100">
            <v>615672.16999999993</v>
          </cell>
        </row>
        <row r="101">
          <cell r="A101" t="str">
            <v>Geronimo Farm Equipment Walgett</v>
          </cell>
          <cell r="B101">
            <v>18</v>
          </cell>
          <cell r="C101">
            <v>2352272.8599999994</v>
          </cell>
        </row>
        <row r="102">
          <cell r="A102" t="str">
            <v>Gino Favaro &amp; Son</v>
          </cell>
          <cell r="B102">
            <v>2</v>
          </cell>
          <cell r="C102">
            <v>50679.020000000004</v>
          </cell>
        </row>
        <row r="103">
          <cell r="A103" t="str">
            <v>Godings Welding - Whittlesea</v>
          </cell>
          <cell r="B103">
            <v>6</v>
          </cell>
          <cell r="C103">
            <v>73185.599999999977</v>
          </cell>
        </row>
        <row r="104">
          <cell r="A104" t="str">
            <v>Goodwin Kenny - Gunnedah</v>
          </cell>
          <cell r="B104">
            <v>17</v>
          </cell>
          <cell r="C104">
            <v>638135.55000000005</v>
          </cell>
        </row>
        <row r="105">
          <cell r="A105" t="str">
            <v>Goodwin Kenny - Tamworth</v>
          </cell>
          <cell r="B105">
            <v>7</v>
          </cell>
          <cell r="C105">
            <v>256598.34000000003</v>
          </cell>
        </row>
        <row r="106">
          <cell r="A106" t="str">
            <v>Great Southern Motors -Wagga</v>
          </cell>
          <cell r="B106">
            <v>23</v>
          </cell>
          <cell r="C106">
            <v>1515375.9699999997</v>
          </cell>
        </row>
        <row r="107">
          <cell r="A107" t="str">
            <v>Great Southern Motors Albury</v>
          </cell>
          <cell r="B107">
            <v>2</v>
          </cell>
          <cell r="C107">
            <v>86930.780000000013</v>
          </cell>
        </row>
        <row r="108">
          <cell r="A108" t="str">
            <v>Hage Tractors - Naracoorte</v>
          </cell>
          <cell r="B108">
            <v>25</v>
          </cell>
          <cell r="C108">
            <v>1127416.6800000002</v>
          </cell>
        </row>
        <row r="109">
          <cell r="A109" t="str">
            <v>Hartwigs - Lavington</v>
          </cell>
          <cell r="B109">
            <v>8</v>
          </cell>
          <cell r="C109">
            <v>901604.33999999985</v>
          </cell>
        </row>
        <row r="110">
          <cell r="A110" t="str">
            <v>Hartwigs - Wagga</v>
          </cell>
          <cell r="B110">
            <v>22</v>
          </cell>
          <cell r="C110">
            <v>1385659.83</v>
          </cell>
        </row>
        <row r="111">
          <cell r="A111" t="str">
            <v>Hartwigs Griffith</v>
          </cell>
          <cell r="B111">
            <v>11</v>
          </cell>
          <cell r="C111">
            <v>1825373.58</v>
          </cell>
        </row>
        <row r="112">
          <cell r="A112" t="str">
            <v>Horsham T &amp; I Centre (NH)</v>
          </cell>
          <cell r="B112">
            <v>1</v>
          </cell>
          <cell r="C112">
            <v>22955.03</v>
          </cell>
        </row>
        <row r="113">
          <cell r="A113" t="str">
            <v>Hutton &amp; Northey - Corrigin</v>
          </cell>
          <cell r="B113">
            <v>3</v>
          </cell>
          <cell r="C113">
            <v>405575.57999999996</v>
          </cell>
        </row>
        <row r="114">
          <cell r="A114" t="str">
            <v>Hutton &amp; Northey - Cunderdin (CIH)</v>
          </cell>
          <cell r="B114">
            <v>4</v>
          </cell>
          <cell r="C114">
            <v>213072.55999999997</v>
          </cell>
        </row>
        <row r="115">
          <cell r="A115" t="str">
            <v>Hutton &amp; Northey - Merredin (CIH)</v>
          </cell>
          <cell r="B115">
            <v>8</v>
          </cell>
          <cell r="C115">
            <v>841491.35999999987</v>
          </cell>
        </row>
        <row r="116">
          <cell r="A116" t="str">
            <v>Hutton &amp; Northey - Mukinbudin (CIH)</v>
          </cell>
          <cell r="B116">
            <v>2</v>
          </cell>
          <cell r="C116">
            <v>363716.45000000007</v>
          </cell>
        </row>
        <row r="117">
          <cell r="A117" t="str">
            <v>Hydraulics &amp; Tractor Service</v>
          </cell>
          <cell r="B117">
            <v>15</v>
          </cell>
          <cell r="C117">
            <v>529681.72999999986</v>
          </cell>
        </row>
        <row r="118">
          <cell r="A118" t="str">
            <v>Interline Sales - Corrigin</v>
          </cell>
          <cell r="B118">
            <v>1</v>
          </cell>
          <cell r="C118">
            <v>53571.829999999987</v>
          </cell>
        </row>
        <row r="119">
          <cell r="A119" t="str">
            <v>Intersales - Leeton</v>
          </cell>
          <cell r="B119">
            <v>16</v>
          </cell>
          <cell r="C119">
            <v>1505081.87</v>
          </cell>
        </row>
        <row r="120">
          <cell r="A120" t="str">
            <v>Intersales - Temora</v>
          </cell>
          <cell r="B120">
            <v>62</v>
          </cell>
          <cell r="C120">
            <v>5658179.8400000017</v>
          </cell>
        </row>
        <row r="121">
          <cell r="A121" t="str">
            <v>Inverell Power Farm Co</v>
          </cell>
          <cell r="B121">
            <v>12</v>
          </cell>
          <cell r="C121">
            <v>357750.58000000007</v>
          </cell>
        </row>
        <row r="122">
          <cell r="A122" t="str">
            <v>JJ O'Connor &amp; Son - Corowa</v>
          </cell>
          <cell r="B122">
            <v>14</v>
          </cell>
          <cell r="C122">
            <v>1485620.6</v>
          </cell>
        </row>
        <row r="123">
          <cell r="A123" t="str">
            <v>JJ O'Connor &amp; Sons - Bordertown</v>
          </cell>
          <cell r="B123">
            <v>3</v>
          </cell>
          <cell r="C123">
            <v>195743.24</v>
          </cell>
        </row>
        <row r="124">
          <cell r="A124" t="str">
            <v>JJ O'Connors - Birchip</v>
          </cell>
          <cell r="B124">
            <v>7</v>
          </cell>
          <cell r="C124">
            <v>899564.39</v>
          </cell>
        </row>
        <row r="125">
          <cell r="A125" t="str">
            <v>JJ O'Connors - Horsham</v>
          </cell>
          <cell r="B125">
            <v>48</v>
          </cell>
          <cell r="C125">
            <v>4395155.63</v>
          </cell>
        </row>
        <row r="126">
          <cell r="A126" t="str">
            <v>JJ O'Connors - Warracknabeal</v>
          </cell>
          <cell r="B126">
            <v>21</v>
          </cell>
          <cell r="C126">
            <v>2515063.5999999996</v>
          </cell>
        </row>
        <row r="127">
          <cell r="A127" t="str">
            <v>John Payne AG - Bordertown</v>
          </cell>
          <cell r="B127">
            <v>13</v>
          </cell>
          <cell r="C127">
            <v>876980.70000000007</v>
          </cell>
        </row>
        <row r="128">
          <cell r="A128" t="str">
            <v>Kempsey Motors</v>
          </cell>
          <cell r="B128">
            <v>2</v>
          </cell>
          <cell r="C128">
            <v>24347.479999999974</v>
          </cell>
        </row>
        <row r="129">
          <cell r="A129" t="str">
            <v>Ken Gordon Financial Services</v>
          </cell>
          <cell r="B129">
            <v>4</v>
          </cell>
          <cell r="C129">
            <v>82953.339999999982</v>
          </cell>
        </row>
        <row r="130">
          <cell r="A130" t="str">
            <v>Kenway &amp; Clark - Goondiwindi</v>
          </cell>
          <cell r="B130">
            <v>14</v>
          </cell>
          <cell r="C130">
            <v>1141412.4100000001</v>
          </cell>
        </row>
        <row r="131">
          <cell r="A131" t="str">
            <v>Kenway &amp; Clark - Inverell</v>
          </cell>
          <cell r="B131">
            <v>7</v>
          </cell>
          <cell r="C131">
            <v>276216.88</v>
          </cell>
        </row>
        <row r="132">
          <cell r="A132" t="str">
            <v>Kenway &amp; Clark - Moree</v>
          </cell>
          <cell r="B132">
            <v>30</v>
          </cell>
          <cell r="C132">
            <v>3520823.4600000009</v>
          </cell>
        </row>
        <row r="133">
          <cell r="A133" t="str">
            <v>Konigs Shepparton</v>
          </cell>
          <cell r="B133">
            <v>1</v>
          </cell>
          <cell r="C133">
            <v>17538.79</v>
          </cell>
        </row>
        <row r="134">
          <cell r="A134" t="str">
            <v>KP &amp; DC Machinery - (CC) Rutherford</v>
          </cell>
          <cell r="B134">
            <v>6</v>
          </cell>
          <cell r="C134">
            <v>102558.51999999999</v>
          </cell>
        </row>
        <row r="135">
          <cell r="A135" t="str">
            <v>KP &amp; DC Machinery - (NH) Rutherford</v>
          </cell>
          <cell r="B135">
            <v>5</v>
          </cell>
          <cell r="C135">
            <v>91877.800000000017</v>
          </cell>
        </row>
        <row r="136">
          <cell r="A136" t="str">
            <v>Larwoods Ag Services - Kadina</v>
          </cell>
          <cell r="B136">
            <v>24</v>
          </cell>
          <cell r="C136">
            <v>2141918.88</v>
          </cell>
        </row>
        <row r="137">
          <cell r="A137" t="str">
            <v>Linx Finance Australia</v>
          </cell>
          <cell r="B137">
            <v>1</v>
          </cell>
          <cell r="C137">
            <v>134030.41</v>
          </cell>
        </row>
        <row r="138">
          <cell r="A138" t="str">
            <v>Lyndoch Motors</v>
          </cell>
          <cell r="B138">
            <v>19</v>
          </cell>
          <cell r="C138">
            <v>1291882.9400000002</v>
          </cell>
        </row>
        <row r="139">
          <cell r="A139" t="str">
            <v>Maccafin</v>
          </cell>
          <cell r="B139">
            <v>3</v>
          </cell>
          <cell r="C139">
            <v>158513.61000000002</v>
          </cell>
        </row>
        <row r="140">
          <cell r="A140" t="str">
            <v>Machinery West - Donnybrook</v>
          </cell>
          <cell r="B140">
            <v>13</v>
          </cell>
          <cell r="C140">
            <v>219265.48</v>
          </cell>
        </row>
        <row r="141">
          <cell r="A141" t="str">
            <v>Macleay Machinery</v>
          </cell>
          <cell r="B141">
            <v>9</v>
          </cell>
          <cell r="C141">
            <v>229403.77999999997</v>
          </cell>
        </row>
        <row r="142">
          <cell r="A142" t="str">
            <v>McDonald Murphy</v>
          </cell>
          <cell r="B142">
            <v>9</v>
          </cell>
          <cell r="C142">
            <v>278596.58</v>
          </cell>
        </row>
        <row r="143">
          <cell r="A143" t="str">
            <v>McDonald Murphy - Bundaberg</v>
          </cell>
          <cell r="B143">
            <v>5</v>
          </cell>
          <cell r="C143">
            <v>213507.83999999997</v>
          </cell>
        </row>
        <row r="144">
          <cell r="A144" t="str">
            <v>McDonald Murphy - Mackay</v>
          </cell>
          <cell r="B144">
            <v>15</v>
          </cell>
          <cell r="C144">
            <v>494532.35999999987</v>
          </cell>
        </row>
        <row r="145">
          <cell r="A145" t="str">
            <v>McIntosh &amp; Son -  Dalby</v>
          </cell>
          <cell r="B145">
            <v>17</v>
          </cell>
          <cell r="C145">
            <v>1146997.7899999998</v>
          </cell>
        </row>
        <row r="146">
          <cell r="A146" t="str">
            <v>McIntosh &amp; Son - Emerald</v>
          </cell>
          <cell r="B146">
            <v>3</v>
          </cell>
          <cell r="C146">
            <v>230079</v>
          </cell>
        </row>
        <row r="147">
          <cell r="A147" t="str">
            <v>McIntosh &amp; Son - Geraldton</v>
          </cell>
          <cell r="B147">
            <v>28</v>
          </cell>
          <cell r="C147">
            <v>1326559.2000000002</v>
          </cell>
        </row>
        <row r="148">
          <cell r="A148" t="str">
            <v>McIntosh &amp; Son - Katanning</v>
          </cell>
          <cell r="B148">
            <v>20</v>
          </cell>
          <cell r="C148">
            <v>1243572.1099999999</v>
          </cell>
        </row>
        <row r="149">
          <cell r="A149" t="str">
            <v>McIntosh &amp; Son - Moora</v>
          </cell>
          <cell r="B149">
            <v>7</v>
          </cell>
          <cell r="C149">
            <v>529290.11</v>
          </cell>
        </row>
        <row r="150">
          <cell r="A150" t="str">
            <v>McIntosh &amp; Son - Redcliffe</v>
          </cell>
          <cell r="B150">
            <v>47</v>
          </cell>
          <cell r="C150">
            <v>2118806.6</v>
          </cell>
        </row>
        <row r="151">
          <cell r="A151" t="str">
            <v>McIntosh &amp; Son - Wongan Hills</v>
          </cell>
          <cell r="B151">
            <v>13</v>
          </cell>
          <cell r="C151">
            <v>1425127.4000000001</v>
          </cell>
        </row>
        <row r="152">
          <cell r="A152" t="str">
            <v>McPhersons Parts &amp; Service</v>
          </cell>
          <cell r="B152">
            <v>36</v>
          </cell>
          <cell r="C152">
            <v>2655584.96</v>
          </cell>
        </row>
        <row r="153">
          <cell r="A153" t="str">
            <v>Milne Bros - Rockhampton</v>
          </cell>
          <cell r="B153">
            <v>5</v>
          </cell>
          <cell r="C153">
            <v>143794.43999999997</v>
          </cell>
        </row>
        <row r="154">
          <cell r="A154" t="str">
            <v>Milne Bros Equipment Emerald</v>
          </cell>
          <cell r="B154">
            <v>6</v>
          </cell>
          <cell r="C154">
            <v>570610.94999999995</v>
          </cell>
        </row>
        <row r="155">
          <cell r="A155" t="str">
            <v>MJ &amp; AM Charlton</v>
          </cell>
          <cell r="B155">
            <v>10</v>
          </cell>
          <cell r="C155">
            <v>313377.03000000003</v>
          </cell>
        </row>
        <row r="156">
          <cell r="A156" t="str">
            <v>Mounts Machinery Pty Ltd</v>
          </cell>
          <cell r="B156">
            <v>1</v>
          </cell>
          <cell r="C156">
            <v>12118.400000000001</v>
          </cell>
        </row>
        <row r="157">
          <cell r="A157" t="str">
            <v>Mounts Machinery Pty Ltd (NH)</v>
          </cell>
          <cell r="B157">
            <v>8</v>
          </cell>
          <cell r="C157">
            <v>314212.02</v>
          </cell>
        </row>
        <row r="158">
          <cell r="A158" t="str">
            <v>Mudgee Machinery Centre</v>
          </cell>
          <cell r="B158">
            <v>2</v>
          </cell>
          <cell r="C158">
            <v>82220.98</v>
          </cell>
        </row>
        <row r="159">
          <cell r="A159" t="str">
            <v>Navfin</v>
          </cell>
          <cell r="B159">
            <v>1</v>
          </cell>
          <cell r="C159">
            <v>82794.78</v>
          </cell>
        </row>
        <row r="160">
          <cell r="A160" t="str">
            <v>ND &amp; JA Giles Farm Machinery</v>
          </cell>
          <cell r="B160">
            <v>40</v>
          </cell>
          <cell r="C160">
            <v>1226796.0899999999</v>
          </cell>
        </row>
        <row r="161">
          <cell r="A161" t="str">
            <v>Noel Graham Farm Machinery</v>
          </cell>
          <cell r="B161">
            <v>6</v>
          </cell>
          <cell r="C161">
            <v>109240.69</v>
          </cell>
        </row>
        <row r="162">
          <cell r="A162" t="str">
            <v>North East Isuzu</v>
          </cell>
          <cell r="B162">
            <v>2</v>
          </cell>
          <cell r="C162">
            <v>74299.459999999992</v>
          </cell>
        </row>
        <row r="163">
          <cell r="A163" t="str">
            <v>North Pine Mtrs</v>
          </cell>
          <cell r="B163">
            <v>8</v>
          </cell>
          <cell r="C163">
            <v>51171.25</v>
          </cell>
        </row>
        <row r="164">
          <cell r="A164" t="str">
            <v>Northern Rivers Machinery</v>
          </cell>
          <cell r="B164">
            <v>20</v>
          </cell>
          <cell r="C164">
            <v>524664.94999999995</v>
          </cell>
        </row>
        <row r="165">
          <cell r="A165" t="str">
            <v>Norwood Agriculture - Horsham</v>
          </cell>
          <cell r="B165">
            <v>7</v>
          </cell>
          <cell r="C165">
            <v>702066.98</v>
          </cell>
        </row>
        <row r="166">
          <cell r="A166" t="str">
            <v>Norwood Agriculture - Swan Hill</v>
          </cell>
          <cell r="B166">
            <v>8</v>
          </cell>
          <cell r="C166">
            <v>458292.59</v>
          </cell>
        </row>
        <row r="167">
          <cell r="A167" t="str">
            <v>Nowra Truck &amp; Tractor Repairs</v>
          </cell>
          <cell r="B167">
            <v>3</v>
          </cell>
          <cell r="C167">
            <v>100203.74999999997</v>
          </cell>
        </row>
        <row r="168">
          <cell r="A168" t="str">
            <v>O'Connors - Birchip</v>
          </cell>
          <cell r="B168">
            <v>30</v>
          </cell>
          <cell r="C168">
            <v>2711034.34</v>
          </cell>
        </row>
        <row r="169">
          <cell r="A169" t="str">
            <v>O'Connors Shepparton</v>
          </cell>
          <cell r="B169">
            <v>36</v>
          </cell>
          <cell r="C169">
            <v>1956234.36</v>
          </cell>
        </row>
        <row r="170">
          <cell r="A170" t="str">
            <v>On-Trac Ag</v>
          </cell>
          <cell r="B170">
            <v>22</v>
          </cell>
          <cell r="C170">
            <v>629119.89999999991</v>
          </cell>
        </row>
        <row r="171">
          <cell r="A171" t="str">
            <v>On-Trac Ag Bathurst</v>
          </cell>
          <cell r="B171">
            <v>7</v>
          </cell>
          <cell r="C171">
            <v>153906.65999999997</v>
          </cell>
        </row>
        <row r="172">
          <cell r="A172" t="str">
            <v>Peter May Finance</v>
          </cell>
          <cell r="B172">
            <v>14</v>
          </cell>
          <cell r="C172">
            <v>893179.88000000012</v>
          </cell>
        </row>
        <row r="173">
          <cell r="A173" t="str">
            <v>Phillips Farm Machinery</v>
          </cell>
          <cell r="B173">
            <v>6</v>
          </cell>
          <cell r="C173">
            <v>313772.81999999995</v>
          </cell>
        </row>
        <row r="174">
          <cell r="A174" t="str">
            <v>Pierpoint Motors - Stanthorpe</v>
          </cell>
          <cell r="B174">
            <v>10</v>
          </cell>
          <cell r="C174">
            <v>170703.21</v>
          </cell>
        </row>
        <row r="175">
          <cell r="A175" t="str">
            <v>Plumb Motors - Bega</v>
          </cell>
          <cell r="B175">
            <v>4</v>
          </cell>
          <cell r="C175">
            <v>112362.63000000003</v>
          </cell>
        </row>
        <row r="176">
          <cell r="A176" t="str">
            <v>Price Farm Machinery</v>
          </cell>
          <cell r="B176">
            <v>4</v>
          </cell>
          <cell r="C176">
            <v>160730.64000000001</v>
          </cell>
        </row>
        <row r="177">
          <cell r="A177" t="str">
            <v>Purcher International</v>
          </cell>
          <cell r="B177">
            <v>27</v>
          </cell>
          <cell r="C177">
            <v>2214877.7500000005</v>
          </cell>
        </row>
        <row r="178">
          <cell r="A178" t="str">
            <v>QMAC Machinery</v>
          </cell>
          <cell r="B178">
            <v>31</v>
          </cell>
          <cell r="C178">
            <v>865749.33999999962</v>
          </cell>
        </row>
        <row r="179">
          <cell r="A179" t="str">
            <v>R McClintock &amp; Co - Forbes</v>
          </cell>
          <cell r="B179">
            <v>16</v>
          </cell>
          <cell r="C179">
            <v>962373.53999999992</v>
          </cell>
        </row>
        <row r="180">
          <cell r="A180" t="str">
            <v>R McClintock &amp; Co - Grenfell</v>
          </cell>
          <cell r="B180">
            <v>1</v>
          </cell>
          <cell r="C180">
            <v>2915.0599999999995</v>
          </cell>
        </row>
        <row r="181">
          <cell r="A181" t="str">
            <v>R McClintock &amp; Co - West Wyalong</v>
          </cell>
          <cell r="B181">
            <v>20</v>
          </cell>
          <cell r="C181">
            <v>1372873.03</v>
          </cell>
        </row>
        <row r="182">
          <cell r="A182" t="str">
            <v>Ramsey Bros (Cleve)</v>
          </cell>
          <cell r="B182">
            <v>23</v>
          </cell>
          <cell r="C182">
            <v>1797233.5899999999</v>
          </cell>
        </row>
        <row r="183">
          <cell r="A183" t="str">
            <v>Ramsey Bros (Cummins)</v>
          </cell>
          <cell r="B183">
            <v>39</v>
          </cell>
          <cell r="C183">
            <v>3182895.2899999991</v>
          </cell>
        </row>
        <row r="184">
          <cell r="A184" t="str">
            <v>Ramsey Bros (Group)</v>
          </cell>
          <cell r="B184">
            <v>3</v>
          </cell>
          <cell r="C184">
            <v>109585.80000000002</v>
          </cell>
        </row>
        <row r="185">
          <cell r="A185" t="str">
            <v>Ramsey Bros (Murray Bridge)</v>
          </cell>
          <cell r="B185">
            <v>39</v>
          </cell>
          <cell r="C185">
            <v>1714309.0200000003</v>
          </cell>
        </row>
        <row r="186">
          <cell r="A186" t="str">
            <v>Ramsey Bros (Riverton)</v>
          </cell>
          <cell r="B186">
            <v>18</v>
          </cell>
          <cell r="C186">
            <v>656090.15</v>
          </cell>
        </row>
        <row r="187">
          <cell r="A187" t="str">
            <v>Ramsey Bros (Wudinna)</v>
          </cell>
          <cell r="B187">
            <v>17</v>
          </cell>
          <cell r="C187">
            <v>1392928.2700000003</v>
          </cell>
        </row>
        <row r="188">
          <cell r="A188" t="str">
            <v>Ranger Geale - Goulburn</v>
          </cell>
          <cell r="B188">
            <v>12</v>
          </cell>
          <cell r="C188">
            <v>278585.71999999997</v>
          </cell>
        </row>
        <row r="189">
          <cell r="A189" t="str">
            <v>Red Line Machinery - Wee Waa</v>
          </cell>
          <cell r="B189">
            <v>4</v>
          </cell>
          <cell r="C189">
            <v>363946.66000000003</v>
          </cell>
        </row>
        <row r="190">
          <cell r="A190" t="str">
            <v>Refinance</v>
          </cell>
          <cell r="B190">
            <v>5</v>
          </cell>
          <cell r="C190">
            <v>243660.46999999991</v>
          </cell>
        </row>
        <row r="191">
          <cell r="A191" t="str">
            <v>Refinance - Hardship</v>
          </cell>
          <cell r="B191">
            <v>48</v>
          </cell>
          <cell r="C191">
            <v>3655355.2</v>
          </cell>
        </row>
        <row r="192">
          <cell r="A192" t="str">
            <v>Refinance - Remarketing</v>
          </cell>
          <cell r="B192">
            <v>37</v>
          </cell>
          <cell r="C192">
            <v>725788.39</v>
          </cell>
        </row>
        <row r="193">
          <cell r="A193" t="str">
            <v>Rhys Evans - Colac</v>
          </cell>
          <cell r="B193">
            <v>11</v>
          </cell>
          <cell r="C193">
            <v>533848.84</v>
          </cell>
        </row>
        <row r="194">
          <cell r="A194" t="str">
            <v>Rocky River AG - Crystal Brook</v>
          </cell>
          <cell r="B194">
            <v>63</v>
          </cell>
          <cell r="C194">
            <v>3340561.4399999985</v>
          </cell>
        </row>
        <row r="195">
          <cell r="A195" t="str">
            <v>Ronco Motors (CIH)</v>
          </cell>
          <cell r="B195">
            <v>9</v>
          </cell>
          <cell r="C195">
            <v>686158.91999999993</v>
          </cell>
        </row>
        <row r="196">
          <cell r="A196" t="str">
            <v>Ronco Motors (NH)</v>
          </cell>
          <cell r="B196">
            <v>6</v>
          </cell>
          <cell r="C196">
            <v>377485.93999999994</v>
          </cell>
        </row>
        <row r="197">
          <cell r="A197" t="str">
            <v>RP Motors - Werribee South</v>
          </cell>
          <cell r="B197">
            <v>8</v>
          </cell>
          <cell r="C197">
            <v>239556.52</v>
          </cell>
        </row>
        <row r="198">
          <cell r="A198" t="str">
            <v>Russell Industries</v>
          </cell>
          <cell r="B198">
            <v>4</v>
          </cell>
          <cell r="C198">
            <v>109236.96999999997</v>
          </cell>
        </row>
        <row r="199">
          <cell r="A199" t="str">
            <v>Sebastopol Mach - Millicent</v>
          </cell>
          <cell r="B199">
            <v>2</v>
          </cell>
          <cell r="C199">
            <v>132545.44999999998</v>
          </cell>
        </row>
        <row r="200">
          <cell r="A200" t="str">
            <v>Semco Equip Sales - Queanbeyan</v>
          </cell>
          <cell r="B200">
            <v>17</v>
          </cell>
          <cell r="C200">
            <v>348830.83000000007</v>
          </cell>
        </row>
        <row r="201">
          <cell r="A201" t="str">
            <v>Semco Equip Sales - Queanbeyan (NH)</v>
          </cell>
          <cell r="B201">
            <v>2</v>
          </cell>
          <cell r="C201">
            <v>16150.249999999998</v>
          </cell>
        </row>
        <row r="202">
          <cell r="A202" t="str">
            <v>Semco Equip Sales - St Marys</v>
          </cell>
          <cell r="B202">
            <v>40</v>
          </cell>
          <cell r="C202">
            <v>3880192.1999999997</v>
          </cell>
        </row>
        <row r="203">
          <cell r="A203" t="str">
            <v>Semco Equip Sales - St Marys (NH)</v>
          </cell>
          <cell r="B203">
            <v>2</v>
          </cell>
          <cell r="C203">
            <v>43802.87</v>
          </cell>
        </row>
        <row r="204">
          <cell r="A204" t="str">
            <v>Shannon Brothers - Harwood Island</v>
          </cell>
          <cell r="B204">
            <v>23</v>
          </cell>
          <cell r="C204">
            <v>588120.00999999989</v>
          </cell>
        </row>
        <row r="205">
          <cell r="A205" t="str">
            <v>South Burnett Machinery</v>
          </cell>
          <cell r="B205">
            <v>10</v>
          </cell>
          <cell r="C205">
            <v>152862.58000000002</v>
          </cell>
        </row>
        <row r="206">
          <cell r="A206" t="str">
            <v>South West Isuzu</v>
          </cell>
          <cell r="B206">
            <v>1</v>
          </cell>
          <cell r="C206">
            <v>38150.949999999997</v>
          </cell>
        </row>
        <row r="207">
          <cell r="A207" t="str">
            <v>South West Tractors (NH)</v>
          </cell>
          <cell r="B207">
            <v>28</v>
          </cell>
          <cell r="C207">
            <v>1197204.7</v>
          </cell>
        </row>
        <row r="208">
          <cell r="A208" t="str">
            <v>St George Machinery</v>
          </cell>
          <cell r="B208">
            <v>23</v>
          </cell>
          <cell r="C208">
            <v>3201046.9199999995</v>
          </cell>
        </row>
        <row r="209">
          <cell r="A209" t="str">
            <v>Staines Esperance</v>
          </cell>
          <cell r="B209">
            <v>11</v>
          </cell>
          <cell r="C209">
            <v>1110001.1000000001</v>
          </cell>
        </row>
        <row r="210">
          <cell r="A210" t="str">
            <v>Stan Cork Machinery</v>
          </cell>
          <cell r="B210">
            <v>12</v>
          </cell>
          <cell r="C210">
            <v>340789.93</v>
          </cell>
        </row>
        <row r="211">
          <cell r="A211" t="str">
            <v>Strathfield Equipment</v>
          </cell>
          <cell r="B211">
            <v>1</v>
          </cell>
          <cell r="C211">
            <v>11757.879999999997</v>
          </cell>
        </row>
        <row r="212">
          <cell r="A212" t="str">
            <v>Sunstate Ag - Dalby</v>
          </cell>
          <cell r="B212">
            <v>23</v>
          </cell>
          <cell r="C212">
            <v>2011520.5399999998</v>
          </cell>
        </row>
        <row r="213">
          <cell r="A213" t="str">
            <v>Sunstate Ag - Toowoomba</v>
          </cell>
          <cell r="B213">
            <v>7</v>
          </cell>
          <cell r="C213">
            <v>347177.78</v>
          </cell>
        </row>
        <row r="214">
          <cell r="A214" t="str">
            <v>Swan Farm Machinery</v>
          </cell>
          <cell r="B214">
            <v>12</v>
          </cell>
          <cell r="C214">
            <v>463535.14</v>
          </cell>
        </row>
        <row r="215">
          <cell r="A215" t="str">
            <v>Swayn &amp; McCabe</v>
          </cell>
          <cell r="B215">
            <v>15</v>
          </cell>
          <cell r="C215">
            <v>662372.49000000011</v>
          </cell>
        </row>
        <row r="216">
          <cell r="A216" t="str">
            <v>Swayn &amp; Mccabe - Warrnambool</v>
          </cell>
          <cell r="B216">
            <v>4</v>
          </cell>
          <cell r="C216">
            <v>88107.51</v>
          </cell>
        </row>
        <row r="217">
          <cell r="A217" t="str">
            <v>Taskers Garage - Deniliquin</v>
          </cell>
          <cell r="B217">
            <v>12</v>
          </cell>
          <cell r="C217">
            <v>637363.19999999995</v>
          </cell>
        </row>
        <row r="218">
          <cell r="A218" t="str">
            <v>Temora Truck &amp; Tractor Service</v>
          </cell>
          <cell r="B218">
            <v>11</v>
          </cell>
          <cell r="C218">
            <v>909015.41999999993</v>
          </cell>
        </row>
        <row r="219">
          <cell r="A219" t="str">
            <v>Three Rivers Machinery</v>
          </cell>
          <cell r="B219">
            <v>6</v>
          </cell>
          <cell r="C219">
            <v>279564.80000000005</v>
          </cell>
        </row>
        <row r="220">
          <cell r="A220" t="str">
            <v>TR &amp; KR Shipton - Quoiba</v>
          </cell>
          <cell r="B220">
            <v>13</v>
          </cell>
          <cell r="C220">
            <v>515671.17000000004</v>
          </cell>
        </row>
        <row r="221">
          <cell r="A221" t="str">
            <v>Tracfin</v>
          </cell>
          <cell r="B221">
            <v>5</v>
          </cell>
          <cell r="C221">
            <v>928848.28000000049</v>
          </cell>
        </row>
        <row r="222">
          <cell r="A222" t="str">
            <v>Tracpower Nq</v>
          </cell>
          <cell r="B222">
            <v>10</v>
          </cell>
          <cell r="C222">
            <v>424736.99999999994</v>
          </cell>
        </row>
        <row r="223">
          <cell r="A223" t="str">
            <v>Tractors &amp; Machinery Adelaide</v>
          </cell>
          <cell r="B223">
            <v>8</v>
          </cell>
          <cell r="C223">
            <v>233540.97000000009</v>
          </cell>
        </row>
        <row r="224">
          <cell r="A224" t="str">
            <v>Trafalgar Tractor &amp; Mach</v>
          </cell>
          <cell r="B224">
            <v>36</v>
          </cell>
          <cell r="C224">
            <v>983366.60999999987</v>
          </cell>
        </row>
        <row r="225">
          <cell r="A225" t="str">
            <v>Transport Finance</v>
          </cell>
          <cell r="B225">
            <v>45</v>
          </cell>
          <cell r="C225">
            <v>4185292.7600000007</v>
          </cell>
        </row>
        <row r="226">
          <cell r="A226" t="str">
            <v>Tully Motors - Tully</v>
          </cell>
          <cell r="B226">
            <v>3</v>
          </cell>
          <cell r="C226">
            <v>77586.689999999973</v>
          </cell>
        </row>
        <row r="227">
          <cell r="A227" t="str">
            <v>W (Bill) Cornish Holdings - Gilgandra</v>
          </cell>
          <cell r="B227">
            <v>5</v>
          </cell>
          <cell r="C227">
            <v>395560.95999999996</v>
          </cell>
        </row>
        <row r="228">
          <cell r="A228" t="str">
            <v>W (Bill) Cornish Holdings - Tamworth</v>
          </cell>
          <cell r="B228">
            <v>1</v>
          </cell>
          <cell r="C228">
            <v>12644.549999999988</v>
          </cell>
        </row>
        <row r="229">
          <cell r="A229" t="str">
            <v>W M Johnson &amp; Co</v>
          </cell>
          <cell r="B229">
            <v>1</v>
          </cell>
          <cell r="C229">
            <v>42576.5</v>
          </cell>
        </row>
        <row r="230">
          <cell r="A230" t="str">
            <v>Walgett Tyre &amp; Machinery</v>
          </cell>
          <cell r="B230">
            <v>6</v>
          </cell>
          <cell r="C230">
            <v>436337.25</v>
          </cell>
        </row>
        <row r="231">
          <cell r="A231" t="str">
            <v>Wanneroo Ag Mach - Wanneroo</v>
          </cell>
          <cell r="B231">
            <v>3</v>
          </cell>
          <cell r="C231">
            <v>57427.559999999983</v>
          </cell>
        </row>
        <row r="232">
          <cell r="A232" t="str">
            <v>Wd Lewis &amp; Co</v>
          </cell>
          <cell r="B232">
            <v>14</v>
          </cell>
          <cell r="C232">
            <v>1545939.8699999996</v>
          </cell>
        </row>
        <row r="233">
          <cell r="A233" t="str">
            <v>Wheat Ridge-Sunrise Ag Mildura</v>
          </cell>
          <cell r="B233">
            <v>26</v>
          </cell>
          <cell r="C233">
            <v>2845406.05</v>
          </cell>
        </row>
        <row r="234">
          <cell r="A234" t="str">
            <v>Wheat Ridge - Sunrise Ag Ouyen</v>
          </cell>
          <cell r="B234">
            <v>9</v>
          </cell>
          <cell r="C234">
            <v>739914.41</v>
          </cell>
        </row>
        <row r="235">
          <cell r="A235" t="str">
            <v>Wheat Ridge - Sunrise Ag Swan Hill</v>
          </cell>
          <cell r="B235">
            <v>35</v>
          </cell>
          <cell r="C235">
            <v>4952321.7</v>
          </cell>
        </row>
        <row r="236">
          <cell r="A236" t="str">
            <v>Wideland Ag - Toowoomba</v>
          </cell>
          <cell r="B236">
            <v>4</v>
          </cell>
          <cell r="C236">
            <v>289521.83999999997</v>
          </cell>
        </row>
        <row r="237">
          <cell r="A237" t="str">
            <v>Williams Estate - Atherton</v>
          </cell>
          <cell r="B237">
            <v>9</v>
          </cell>
          <cell r="C237">
            <v>143920.21000000002</v>
          </cell>
        </row>
        <row r="238">
          <cell r="A238" t="str">
            <v>Williams Estate - Innisfail</v>
          </cell>
          <cell r="B238">
            <v>6</v>
          </cell>
          <cell r="C238">
            <v>218042.69999999995</v>
          </cell>
        </row>
        <row r="239">
          <cell r="A239" t="str">
            <v>Wise Farm Equipment</v>
          </cell>
          <cell r="B239">
            <v>11</v>
          </cell>
          <cell r="C239">
            <v>905335.37999999989</v>
          </cell>
        </row>
      </sheetData>
      <sheetData sheetId="10">
        <row r="2">
          <cell r="A2" t="str">
            <v>New</v>
          </cell>
          <cell r="B2">
            <v>2279</v>
          </cell>
          <cell r="C2">
            <v>146290804.47999981</v>
          </cell>
        </row>
        <row r="3">
          <cell r="A3" t="str">
            <v>Others</v>
          </cell>
          <cell r="B3">
            <v>1</v>
          </cell>
          <cell r="C3">
            <v>2185.869999999999</v>
          </cell>
        </row>
        <row r="4">
          <cell r="A4" t="str">
            <v>Used</v>
          </cell>
          <cell r="B4">
            <v>744</v>
          </cell>
          <cell r="C4">
            <v>38509954.619999968</v>
          </cell>
        </row>
      </sheetData>
      <sheetData sheetId="11">
        <row r="2">
          <cell r="A2" t="str">
            <v>Finance Lease</v>
          </cell>
          <cell r="B2">
            <v>40</v>
          </cell>
          <cell r="C2">
            <v>2320695.89</v>
          </cell>
        </row>
        <row r="3">
          <cell r="A3" t="str">
            <v>Goods Mortgage</v>
          </cell>
          <cell r="B3">
            <v>2958</v>
          </cell>
          <cell r="C3">
            <v>178817995.85000017</v>
          </cell>
        </row>
        <row r="4">
          <cell r="A4" t="str">
            <v>Hire Purchase</v>
          </cell>
          <cell r="B4">
            <v>26</v>
          </cell>
          <cell r="C4">
            <v>3664253.2299999991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Industry"/>
      <sheetName val="Arrears"/>
      <sheetName val="Collateral"/>
      <sheetName val="Balance Distribution"/>
      <sheetName val="New v Used"/>
    </sheetNames>
    <sheetDataSet>
      <sheetData sheetId="0">
        <row r="2">
          <cell r="A2" t="str">
            <v>AGRICULTURAL MACHINERY</v>
          </cell>
          <cell r="B2">
            <v>3042</v>
          </cell>
          <cell r="C2">
            <v>200873845.20999998</v>
          </cell>
        </row>
        <row r="3">
          <cell r="A3" t="str">
            <v>CONSTRUCTION EQUIPMENT</v>
          </cell>
          <cell r="B3">
            <v>155</v>
          </cell>
          <cell r="C3">
            <v>12138550.889999999</v>
          </cell>
        </row>
        <row r="4">
          <cell r="A4" t="str">
            <v>zzMOTOR VEHICLE - AG</v>
          </cell>
          <cell r="B4">
            <v>25</v>
          </cell>
          <cell r="C4">
            <v>504140.13999999984</v>
          </cell>
        </row>
      </sheetData>
      <sheetData sheetId="1">
        <row r="2">
          <cell r="A2" t="str">
            <v>0 - 30 Days</v>
          </cell>
          <cell r="B2">
            <v>261600.9</v>
          </cell>
          <cell r="C2">
            <v>3210</v>
          </cell>
          <cell r="D2">
            <v>212868522.80999985</v>
          </cell>
        </row>
        <row r="3">
          <cell r="A3" t="str">
            <v>121 - 150 Days</v>
          </cell>
          <cell r="B3">
            <v>8857.6399999999958</v>
          </cell>
          <cell r="C3">
            <v>1</v>
          </cell>
          <cell r="D3">
            <v>12737.480000000003</v>
          </cell>
        </row>
        <row r="4">
          <cell r="A4" t="str">
            <v>31 - 60 Days</v>
          </cell>
          <cell r="B4">
            <v>71748.890000000014</v>
          </cell>
          <cell r="C4">
            <v>7</v>
          </cell>
          <cell r="D4">
            <v>280562.05999999994</v>
          </cell>
        </row>
        <row r="5">
          <cell r="A5" t="str">
            <v>61 - 90 Days</v>
          </cell>
          <cell r="B5">
            <v>52948.519999999982</v>
          </cell>
          <cell r="C5">
            <v>4</v>
          </cell>
          <cell r="D5">
            <v>354713.89</v>
          </cell>
        </row>
      </sheetData>
      <sheetData sheetId="2">
        <row r="2">
          <cell r="A2" t="str">
            <v>100&lt;140 HP TRACTOR</v>
          </cell>
          <cell r="B2">
            <v>457</v>
          </cell>
          <cell r="C2">
            <v>20598547.130000014</v>
          </cell>
        </row>
        <row r="3">
          <cell r="A3" t="str">
            <v>4 EWD TRACTORS</v>
          </cell>
          <cell r="B3">
            <v>344</v>
          </cell>
          <cell r="C3">
            <v>32206983.350000039</v>
          </cell>
        </row>
        <row r="4">
          <cell r="A4" t="str">
            <v>40&lt;60 HP TRACTOR</v>
          </cell>
          <cell r="B4">
            <v>113</v>
          </cell>
          <cell r="C4">
            <v>1799956.9700000004</v>
          </cell>
        </row>
        <row r="5">
          <cell r="A5" t="str">
            <v>4WD Vehicle</v>
          </cell>
          <cell r="B5">
            <v>1</v>
          </cell>
          <cell r="C5">
            <v>37964.919999999984</v>
          </cell>
        </row>
        <row r="6">
          <cell r="A6" t="str">
            <v>60&lt;100 HP TRACTOR</v>
          </cell>
          <cell r="B6">
            <v>427</v>
          </cell>
          <cell r="C6">
            <v>10876319.87000001</v>
          </cell>
        </row>
        <row r="7">
          <cell r="A7" t="str">
            <v>BACKHOES</v>
          </cell>
          <cell r="B7">
            <v>6</v>
          </cell>
          <cell r="C7">
            <v>320644.64</v>
          </cell>
        </row>
        <row r="8">
          <cell r="A8" t="str">
            <v>BALERS, WINDROWERS, MOWERS, RAKES</v>
          </cell>
          <cell r="B8">
            <v>303</v>
          </cell>
          <cell r="C8">
            <v>8974001.2799999975</v>
          </cell>
        </row>
        <row r="9">
          <cell r="A9" t="str">
            <v>COMBINES</v>
          </cell>
          <cell r="B9">
            <v>370</v>
          </cell>
          <cell r="C9">
            <v>56700620.460000038</v>
          </cell>
        </row>
        <row r="10">
          <cell r="A10" t="str">
            <v>COMMERCIAL VEHICLE</v>
          </cell>
          <cell r="B10">
            <v>25</v>
          </cell>
          <cell r="C10">
            <v>504140.13999999984</v>
          </cell>
        </row>
        <row r="11">
          <cell r="A11" t="str">
            <v>COTTON PICKERS</v>
          </cell>
          <cell r="B11">
            <v>5</v>
          </cell>
          <cell r="C11">
            <v>315329.11999999988</v>
          </cell>
        </row>
        <row r="12">
          <cell r="A12" t="str">
            <v>CRAWLERS / DOZERS</v>
          </cell>
          <cell r="B12">
            <v>5</v>
          </cell>
          <cell r="C12">
            <v>1360464.32</v>
          </cell>
        </row>
        <row r="13">
          <cell r="A13" t="str">
            <v>CULTIVATORS,SEEDERS, HARROWS</v>
          </cell>
          <cell r="B13">
            <v>162</v>
          </cell>
          <cell r="C13">
            <v>9935904.5099999979</v>
          </cell>
        </row>
        <row r="14">
          <cell r="A14" t="str">
            <v>DRILL</v>
          </cell>
          <cell r="B14">
            <v>9</v>
          </cell>
          <cell r="C14">
            <v>462396.83999999991</v>
          </cell>
        </row>
        <row r="15">
          <cell r="A15" t="str">
            <v>DUMP TRUCKS</v>
          </cell>
          <cell r="B15">
            <v>7</v>
          </cell>
          <cell r="C15">
            <v>1221997.95</v>
          </cell>
        </row>
        <row r="16">
          <cell r="A16" t="str">
            <v>EXCAVATORS / GRADERS</v>
          </cell>
          <cell r="B16">
            <v>67</v>
          </cell>
          <cell r="C16">
            <v>5176954.2</v>
          </cell>
        </row>
        <row r="17">
          <cell r="A17" t="str">
            <v>FEEDERS, MIXERS, WAGONS, BINS, FEED STORAGE</v>
          </cell>
          <cell r="B17">
            <v>15</v>
          </cell>
          <cell r="C17">
            <v>398687.24999999994</v>
          </cell>
        </row>
        <row r="18">
          <cell r="A18" t="str">
            <v>FRONT END LOADER</v>
          </cell>
          <cell r="B18">
            <v>11</v>
          </cell>
          <cell r="C18">
            <v>389496.66</v>
          </cell>
        </row>
        <row r="19">
          <cell r="A19" t="str">
            <v>FRONTS</v>
          </cell>
          <cell r="B19">
            <v>51</v>
          </cell>
          <cell r="C19">
            <v>2044019.75</v>
          </cell>
        </row>
        <row r="20">
          <cell r="A20" t="str">
            <v>GUIDANCE SYSTEMS</v>
          </cell>
          <cell r="B20">
            <v>60</v>
          </cell>
          <cell r="C20">
            <v>1063692.1600000004</v>
          </cell>
        </row>
        <row r="21">
          <cell r="A21" t="str">
            <v>HARVESTERS - Other</v>
          </cell>
          <cell r="B21">
            <v>22</v>
          </cell>
          <cell r="C21">
            <v>1920180.61</v>
          </cell>
        </row>
        <row r="22">
          <cell r="A22" t="str">
            <v>IRRIGATION EQUIPMENT</v>
          </cell>
          <cell r="B22">
            <v>2</v>
          </cell>
          <cell r="C22">
            <v>50733.52</v>
          </cell>
        </row>
        <row r="23">
          <cell r="A23" t="str">
            <v>MATERIALS HANDLING EQUIPMENT</v>
          </cell>
          <cell r="B23">
            <v>11</v>
          </cell>
          <cell r="C23">
            <v>1091568.23</v>
          </cell>
        </row>
        <row r="24">
          <cell r="A24" t="str">
            <v>OTHER AG</v>
          </cell>
          <cell r="B24">
            <v>43</v>
          </cell>
          <cell r="C24">
            <v>1604851.7100000004</v>
          </cell>
        </row>
        <row r="25">
          <cell r="A25" t="str">
            <v>OTHER CE</v>
          </cell>
          <cell r="B25">
            <v>5</v>
          </cell>
          <cell r="C25">
            <v>370636.32</v>
          </cell>
        </row>
        <row r="26">
          <cell r="A26" t="str">
            <v>OVER 140 HP TRACTOR</v>
          </cell>
          <cell r="B26">
            <v>483</v>
          </cell>
          <cell r="C26">
            <v>38755901.32</v>
          </cell>
        </row>
        <row r="27">
          <cell r="A27" t="str">
            <v>ROLLERS</v>
          </cell>
          <cell r="B27">
            <v>3</v>
          </cell>
          <cell r="C27">
            <v>115995.08999999997</v>
          </cell>
        </row>
        <row r="28">
          <cell r="A28" t="str">
            <v>SCRAPERS</v>
          </cell>
          <cell r="B28">
            <v>4</v>
          </cell>
          <cell r="C28">
            <v>565427.30000000005</v>
          </cell>
        </row>
        <row r="29">
          <cell r="A29" t="str">
            <v>SKIDSTEER / UNILOADER</v>
          </cell>
          <cell r="B29">
            <v>33</v>
          </cell>
          <cell r="C29">
            <v>969141.05999999982</v>
          </cell>
        </row>
        <row r="30">
          <cell r="A30" t="str">
            <v>SPRAYING EQUIPMENT</v>
          </cell>
          <cell r="B30">
            <v>114</v>
          </cell>
          <cell r="C30">
            <v>12095474.39000001</v>
          </cell>
        </row>
        <row r="31">
          <cell r="A31" t="str">
            <v>UNDER 40 HP TRACTORS</v>
          </cell>
          <cell r="B31">
            <v>50</v>
          </cell>
          <cell r="C31">
            <v>642783.3899999999</v>
          </cell>
        </row>
        <row r="32">
          <cell r="A32" t="str">
            <v>WHEEL LOADERS</v>
          </cell>
          <cell r="B32">
            <v>14</v>
          </cell>
          <cell r="C32">
            <v>945721.78</v>
          </cell>
        </row>
      </sheetData>
      <sheetData sheetId="3">
        <row r="2">
          <cell r="A2" t="str">
            <v>$0 - $25,000</v>
          </cell>
          <cell r="B2">
            <v>1061</v>
          </cell>
          <cell r="C2">
            <v>14366725.500000026</v>
          </cell>
        </row>
        <row r="3">
          <cell r="A3" t="str">
            <v>$100,001 - $125,000</v>
          </cell>
          <cell r="B3">
            <v>181</v>
          </cell>
          <cell r="C3">
            <v>20301397.830000002</v>
          </cell>
        </row>
        <row r="4">
          <cell r="A4" t="str">
            <v>$125,001 - $150,000</v>
          </cell>
          <cell r="B4">
            <v>127</v>
          </cell>
          <cell r="C4">
            <v>17313692.470000006</v>
          </cell>
        </row>
        <row r="5">
          <cell r="A5" t="str">
            <v>$150,001 - $200,000</v>
          </cell>
          <cell r="B5">
            <v>188</v>
          </cell>
          <cell r="C5">
            <v>32277314.870000008</v>
          </cell>
        </row>
        <row r="6">
          <cell r="A6" t="str">
            <v>$200,001 - $300,000</v>
          </cell>
          <cell r="B6">
            <v>132</v>
          </cell>
          <cell r="C6">
            <v>31521375.060000006</v>
          </cell>
        </row>
        <row r="7">
          <cell r="A7" t="str">
            <v>$25,001 - $50,000</v>
          </cell>
          <cell r="B7">
            <v>780</v>
          </cell>
          <cell r="C7">
            <v>28463184.810000028</v>
          </cell>
        </row>
        <row r="8">
          <cell r="A8" t="str">
            <v>$300,001 - $400,000</v>
          </cell>
          <cell r="B8">
            <v>41</v>
          </cell>
          <cell r="C8">
            <v>13800729.959999997</v>
          </cell>
        </row>
        <row r="9">
          <cell r="A9" t="str">
            <v>$400,001 - $500,000</v>
          </cell>
          <cell r="B9">
            <v>8</v>
          </cell>
          <cell r="C9">
            <v>3646551.5700000003</v>
          </cell>
        </row>
        <row r="10">
          <cell r="A10" t="str">
            <v>$50,001 - $75,000</v>
          </cell>
          <cell r="B10">
            <v>439</v>
          </cell>
          <cell r="C10">
            <v>26920495.679999981</v>
          </cell>
        </row>
        <row r="11">
          <cell r="A11" t="str">
            <v>$500,001+</v>
          </cell>
          <cell r="B11">
            <v>3</v>
          </cell>
          <cell r="C11">
            <v>2377306.3200000003</v>
          </cell>
        </row>
        <row r="12">
          <cell r="A12" t="str">
            <v>$75,001 - $100,000</v>
          </cell>
          <cell r="B12">
            <v>262</v>
          </cell>
          <cell r="C12">
            <v>22527762.169999987</v>
          </cell>
        </row>
      </sheetData>
      <sheetData sheetId="4">
        <row r="2">
          <cell r="A2" t="str">
            <v>New</v>
          </cell>
          <cell r="B2">
            <v>2431</v>
          </cell>
          <cell r="C2">
            <v>169676993.66999984</v>
          </cell>
        </row>
        <row r="3">
          <cell r="A3" t="str">
            <v>Others</v>
          </cell>
          <cell r="B3">
            <v>1</v>
          </cell>
          <cell r="C3">
            <v>3455.7099999999991</v>
          </cell>
        </row>
        <row r="4">
          <cell r="A4" t="str">
            <v>Used</v>
          </cell>
          <cell r="B4">
            <v>790</v>
          </cell>
          <cell r="C4">
            <v>43836086.859999977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00__GEOGRAPHIC_DISTRIBUTION"/>
      <sheetName val="(901__COLLATERAL_TYPE"/>
      <sheetName val="(902__TOP_INDUSTRY_DISTRIBUTION"/>
      <sheetName val="(904__RESIDUAL_BALLOON_PAYMENT"/>
      <sheetName val="(905__CLIENT_BALANCE_DISTRIBUTI"/>
      <sheetName val="(906__MATURITY_QUARTER_AND_YEAR"/>
      <sheetName val="(907__SEASONING_DISTRIBUTION"/>
      <sheetName val="(908__ARREARS_REPORTING"/>
      <sheetName val="(909__OBLIGOR_EXPOSURE"/>
      <sheetName val="(910__LVR_DISTRIBUTION"/>
      <sheetName val="(911__CONTRACT_YIELD"/>
      <sheetName val="(913__Product_Type"/>
      <sheetName val="(914__New_v_Used"/>
      <sheetName val="(915__Consolidated_Client_Balan"/>
      <sheetName val="(916__Contract_by_Source"/>
      <sheetName val="(917__Remaining_Term"/>
      <sheetName val="(918__Payment_Frequency"/>
    </sheetNames>
    <sheetDataSet>
      <sheetData sheetId="0">
        <row r="2">
          <cell r="A2" t="str">
            <v>ACT</v>
          </cell>
          <cell r="B2">
            <v>6</v>
          </cell>
          <cell r="C2">
            <v>307050.12</v>
          </cell>
        </row>
        <row r="3">
          <cell r="A3" t="str">
            <v>NSW</v>
          </cell>
          <cell r="B3">
            <v>1101</v>
          </cell>
          <cell r="C3">
            <v>77036796.549999997</v>
          </cell>
        </row>
        <row r="4">
          <cell r="A4" t="str">
            <v>NT</v>
          </cell>
          <cell r="B4">
            <v>1</v>
          </cell>
          <cell r="C4">
            <v>118154.87</v>
          </cell>
        </row>
        <row r="5">
          <cell r="A5" t="str">
            <v>QLD</v>
          </cell>
          <cell r="B5">
            <v>508</v>
          </cell>
          <cell r="C5">
            <v>27583478.289999999</v>
          </cell>
        </row>
        <row r="6">
          <cell r="A6" t="str">
            <v>SA</v>
          </cell>
          <cell r="B6">
            <v>545</v>
          </cell>
          <cell r="C6">
            <v>39519725.810000002</v>
          </cell>
        </row>
        <row r="7">
          <cell r="A7" t="str">
            <v>TAS</v>
          </cell>
          <cell r="B7">
            <v>61</v>
          </cell>
          <cell r="C7">
            <v>2286911.7000000002</v>
          </cell>
        </row>
        <row r="8">
          <cell r="A8" t="str">
            <v>VIC</v>
          </cell>
          <cell r="B8">
            <v>732</v>
          </cell>
          <cell r="C8">
            <v>51290212.329999998</v>
          </cell>
        </row>
        <row r="9">
          <cell r="A9" t="str">
            <v>WA</v>
          </cell>
          <cell r="B9">
            <v>414</v>
          </cell>
          <cell r="C9">
            <v>34881492.329999998</v>
          </cell>
        </row>
      </sheetData>
      <sheetData sheetId="1">
        <row r="2">
          <cell r="A2" t="str">
            <v>4 EWD TRACTORS</v>
          </cell>
          <cell r="B2">
            <v>352</v>
          </cell>
          <cell r="C2">
            <v>33341843.170000002</v>
          </cell>
        </row>
        <row r="3">
          <cell r="A3" t="str">
            <v>40&lt;100 HP TRACTOR</v>
          </cell>
          <cell r="B3">
            <v>568</v>
          </cell>
          <cell r="C3">
            <v>14412558.880000001</v>
          </cell>
        </row>
        <row r="4">
          <cell r="A4" t="str">
            <v>4WD Vehicle</v>
          </cell>
          <cell r="B4">
            <v>1</v>
          </cell>
          <cell r="C4">
            <v>41060.65</v>
          </cell>
        </row>
        <row r="5">
          <cell r="A5" t="str">
            <v>BACKHOES</v>
          </cell>
          <cell r="B5">
            <v>6</v>
          </cell>
          <cell r="C5">
            <v>343935.9</v>
          </cell>
        </row>
        <row r="6">
          <cell r="A6" t="str">
            <v>BALERS, WINDROWERS, MOWERS, RAKES</v>
          </cell>
          <cell r="B6">
            <v>331</v>
          </cell>
          <cell r="C6">
            <v>10153325.68</v>
          </cell>
        </row>
        <row r="7">
          <cell r="A7" t="str">
            <v>COMBINES</v>
          </cell>
          <cell r="B7">
            <v>415</v>
          </cell>
          <cell r="C7">
            <v>65533198.119999997</v>
          </cell>
        </row>
        <row r="8">
          <cell r="A8" t="str">
            <v>COMMERCIAL VEHICLE</v>
          </cell>
          <cell r="B8">
            <v>26</v>
          </cell>
          <cell r="C8">
            <v>572709.1</v>
          </cell>
        </row>
        <row r="9">
          <cell r="A9" t="str">
            <v>COTTON PICKERS</v>
          </cell>
          <cell r="B9">
            <v>5</v>
          </cell>
          <cell r="C9">
            <v>320574.23</v>
          </cell>
        </row>
        <row r="10">
          <cell r="A10" t="str">
            <v>CRAWLERS / DOZERS</v>
          </cell>
          <cell r="B10">
            <v>5</v>
          </cell>
          <cell r="C10">
            <v>1447190.53</v>
          </cell>
        </row>
        <row r="11">
          <cell r="A11" t="str">
            <v>CULTIVATORS,SEEDERS, HARROWS</v>
          </cell>
          <cell r="B11">
            <v>165</v>
          </cell>
          <cell r="C11">
            <v>10315534.41</v>
          </cell>
        </row>
        <row r="12">
          <cell r="A12" t="str">
            <v>DRILL</v>
          </cell>
          <cell r="B12">
            <v>9</v>
          </cell>
          <cell r="C12">
            <v>472149.36</v>
          </cell>
        </row>
        <row r="13">
          <cell r="A13" t="str">
            <v>DUMP TRUCKS</v>
          </cell>
          <cell r="B13">
            <v>7</v>
          </cell>
          <cell r="C13">
            <v>1298059.1599999999</v>
          </cell>
        </row>
        <row r="14">
          <cell r="A14" t="str">
            <v>EXCAVATORS / GRADERS</v>
          </cell>
          <cell r="B14">
            <v>68</v>
          </cell>
          <cell r="C14">
            <v>5550262.4199999999</v>
          </cell>
        </row>
        <row r="15">
          <cell r="A15" t="str">
            <v>FEEDERS, MIXERS, WAGONS, BINS, FEED STORAGE</v>
          </cell>
          <cell r="B15">
            <v>17</v>
          </cell>
          <cell r="C15">
            <v>605259.99</v>
          </cell>
        </row>
        <row r="16">
          <cell r="A16" t="str">
            <v>FRONT END LOADER</v>
          </cell>
          <cell r="B16">
            <v>12</v>
          </cell>
          <cell r="C16">
            <v>410963.54</v>
          </cell>
        </row>
        <row r="17">
          <cell r="A17" t="str">
            <v>FRONTS</v>
          </cell>
          <cell r="B17">
            <v>52</v>
          </cell>
          <cell r="C17">
            <v>2118789.7599999998</v>
          </cell>
        </row>
        <row r="18">
          <cell r="A18" t="str">
            <v>GUIDANCE SYSTEMS</v>
          </cell>
          <cell r="B18">
            <v>60</v>
          </cell>
          <cell r="C18">
            <v>1080758.8999999999</v>
          </cell>
        </row>
        <row r="19">
          <cell r="A19" t="str">
            <v>HARVESTERS - Other</v>
          </cell>
          <cell r="B19">
            <v>24</v>
          </cell>
          <cell r="C19">
            <v>2386882.27</v>
          </cell>
        </row>
        <row r="20">
          <cell r="A20" t="str">
            <v>IRRIGATION EQUIPMENT</v>
          </cell>
          <cell r="B20">
            <v>2</v>
          </cell>
          <cell r="C20">
            <v>50733.52</v>
          </cell>
        </row>
        <row r="21">
          <cell r="A21" t="str">
            <v>MATERIALS HANDLING EQUIPMENT</v>
          </cell>
          <cell r="B21">
            <v>11</v>
          </cell>
          <cell r="C21">
            <v>1179196.82</v>
          </cell>
        </row>
        <row r="22">
          <cell r="A22" t="str">
            <v>OTHER AG</v>
          </cell>
          <cell r="B22">
            <v>44</v>
          </cell>
          <cell r="C22">
            <v>1673065.75</v>
          </cell>
        </row>
        <row r="23">
          <cell r="A23" t="str">
            <v>OTHER CE</v>
          </cell>
          <cell r="B23">
            <v>5</v>
          </cell>
          <cell r="C23">
            <v>397988.95</v>
          </cell>
        </row>
        <row r="24">
          <cell r="A24" t="str">
            <v>OVER 100 HP TRACTOR</v>
          </cell>
          <cell r="B24">
            <v>960</v>
          </cell>
          <cell r="C24">
            <v>63029645.32</v>
          </cell>
        </row>
        <row r="25">
          <cell r="A25" t="str">
            <v>ROLLERS</v>
          </cell>
          <cell r="B25">
            <v>3</v>
          </cell>
          <cell r="C25">
            <v>126146.57</v>
          </cell>
        </row>
        <row r="26">
          <cell r="A26" t="str">
            <v>SCRAPERS</v>
          </cell>
          <cell r="B26">
            <v>4</v>
          </cell>
          <cell r="C26">
            <v>625572.02</v>
          </cell>
        </row>
        <row r="27">
          <cell r="A27" t="str">
            <v>SKIDSTEER / UNILOADER</v>
          </cell>
          <cell r="B27">
            <v>34</v>
          </cell>
          <cell r="C27">
            <v>1069535.44</v>
          </cell>
        </row>
        <row r="28">
          <cell r="A28" t="str">
            <v>SPRAYING EQUIPMENT</v>
          </cell>
          <cell r="B28">
            <v>117</v>
          </cell>
          <cell r="C28">
            <v>12718776.51</v>
          </cell>
        </row>
        <row r="29">
          <cell r="A29" t="str">
            <v>UNDER 40 HP TRACTORS</v>
          </cell>
          <cell r="B29">
            <v>51</v>
          </cell>
          <cell r="C29">
            <v>708852.13</v>
          </cell>
        </row>
        <row r="30">
          <cell r="A30" t="str">
            <v>WHEEL LOADERS</v>
          </cell>
          <cell r="B30">
            <v>14</v>
          </cell>
          <cell r="C30">
            <v>1039252.9</v>
          </cell>
        </row>
      </sheetData>
      <sheetData sheetId="2">
        <row r="2">
          <cell r="A2" t="str">
            <v>AGRICULTURAL MACHINERY</v>
          </cell>
          <cell r="B2">
            <v>3185</v>
          </cell>
          <cell r="C2">
            <v>219373972.19</v>
          </cell>
        </row>
        <row r="3">
          <cell r="A3" t="str">
            <v>CONSTRUCTION EQUIPMENT</v>
          </cell>
          <cell r="B3">
            <v>157</v>
          </cell>
          <cell r="C3">
            <v>13077140.710000001</v>
          </cell>
        </row>
        <row r="4">
          <cell r="A4" t="str">
            <v>MOTOR VEHICLE - AG</v>
          </cell>
          <cell r="B4">
            <v>26</v>
          </cell>
          <cell r="C4">
            <v>572709.1</v>
          </cell>
        </row>
      </sheetData>
      <sheetData sheetId="3">
        <row r="2">
          <cell r="A2" t="str">
            <v>0</v>
          </cell>
          <cell r="B2">
            <v>3067</v>
          </cell>
          <cell r="C2">
            <v>197375146.53999999</v>
          </cell>
        </row>
        <row r="3">
          <cell r="A3" t="str">
            <v>0 to 5</v>
          </cell>
          <cell r="B3">
            <v>65</v>
          </cell>
          <cell r="C3">
            <v>8708521.1099999994</v>
          </cell>
        </row>
        <row r="4">
          <cell r="A4" t="str">
            <v>06 to 10</v>
          </cell>
          <cell r="B4">
            <v>46</v>
          </cell>
          <cell r="C4">
            <v>5637556.5599999996</v>
          </cell>
        </row>
        <row r="5">
          <cell r="A5" t="str">
            <v>11 to 15</v>
          </cell>
          <cell r="B5">
            <v>38</v>
          </cell>
          <cell r="C5">
            <v>7446177.8700000001</v>
          </cell>
        </row>
        <row r="6">
          <cell r="A6" t="str">
            <v>16 to 20</v>
          </cell>
          <cell r="B6">
            <v>42</v>
          </cell>
          <cell r="C6">
            <v>3812635.63</v>
          </cell>
        </row>
        <row r="7">
          <cell r="A7" t="str">
            <v>21 to 25</v>
          </cell>
          <cell r="B7">
            <v>32</v>
          </cell>
          <cell r="C7">
            <v>3052941.88</v>
          </cell>
        </row>
        <row r="8">
          <cell r="A8" t="str">
            <v>26 to 30</v>
          </cell>
          <cell r="B8">
            <v>49</v>
          </cell>
          <cell r="C8">
            <v>4473844.78</v>
          </cell>
        </row>
        <row r="9">
          <cell r="A9" t="str">
            <v>31 to 35</v>
          </cell>
          <cell r="B9">
            <v>10</v>
          </cell>
          <cell r="C9">
            <v>1285390.47</v>
          </cell>
        </row>
        <row r="10">
          <cell r="A10" t="str">
            <v>36 to 40</v>
          </cell>
          <cell r="B10">
            <v>11</v>
          </cell>
          <cell r="C10">
            <v>710868.69</v>
          </cell>
        </row>
        <row r="11">
          <cell r="A11" t="str">
            <v>41+%</v>
          </cell>
          <cell r="B11">
            <v>8</v>
          </cell>
          <cell r="C11">
            <v>520738.47</v>
          </cell>
        </row>
      </sheetData>
      <sheetData sheetId="4">
        <row r="2">
          <cell r="A2" t="str">
            <v>$ 0 - $25,000</v>
          </cell>
          <cell r="B2">
            <v>1038</v>
          </cell>
          <cell r="C2">
            <v>14571975.32</v>
          </cell>
        </row>
        <row r="3">
          <cell r="A3" t="str">
            <v>$ 25,001 to $50,000</v>
          </cell>
          <cell r="B3">
            <v>818</v>
          </cell>
          <cell r="C3">
            <v>29876838.379999999</v>
          </cell>
        </row>
        <row r="4">
          <cell r="A4" t="str">
            <v>$ 50,001 to $75,000</v>
          </cell>
          <cell r="B4">
            <v>477</v>
          </cell>
          <cell r="C4">
            <v>29142189.670000002</v>
          </cell>
        </row>
        <row r="5">
          <cell r="A5" t="str">
            <v>$ 75,001 to $100,000</v>
          </cell>
          <cell r="B5">
            <v>291</v>
          </cell>
          <cell r="C5">
            <v>24978930.760000002</v>
          </cell>
        </row>
        <row r="6">
          <cell r="A6" t="str">
            <v>$100,001 to $125,000</v>
          </cell>
          <cell r="B6">
            <v>197</v>
          </cell>
          <cell r="C6">
            <v>22131978.98</v>
          </cell>
        </row>
        <row r="7">
          <cell r="A7" t="str">
            <v>$125,001 to $150,000</v>
          </cell>
          <cell r="B7">
            <v>136</v>
          </cell>
          <cell r="C7">
            <v>18482128.149999999</v>
          </cell>
        </row>
        <row r="8">
          <cell r="A8" t="str">
            <v>$150,000 to $200,000</v>
          </cell>
          <cell r="B8">
            <v>198</v>
          </cell>
          <cell r="C8">
            <v>34219771.990000002</v>
          </cell>
        </row>
        <row r="9">
          <cell r="A9" t="str">
            <v>$200,001 to $300,000</v>
          </cell>
          <cell r="B9">
            <v>154</v>
          </cell>
          <cell r="C9">
            <v>37000172.880000003</v>
          </cell>
        </row>
        <row r="10">
          <cell r="A10" t="str">
            <v>$300,001 to $400,000</v>
          </cell>
          <cell r="B10">
            <v>46</v>
          </cell>
          <cell r="C10">
            <v>15457553.720000001</v>
          </cell>
        </row>
        <row r="11">
          <cell r="A11" t="str">
            <v>$400,001 to $500,000</v>
          </cell>
          <cell r="B11">
            <v>9</v>
          </cell>
          <cell r="C11">
            <v>4197489.3600000003</v>
          </cell>
        </row>
        <row r="12">
          <cell r="A12" t="str">
            <v>$500,000+</v>
          </cell>
          <cell r="B12">
            <v>4</v>
          </cell>
          <cell r="C12">
            <v>2964792.79</v>
          </cell>
        </row>
      </sheetData>
      <sheetData sheetId="5">
        <row r="2">
          <cell r="A2" t="str">
            <v>2011Q4</v>
          </cell>
          <cell r="B2">
            <v>708652.38</v>
          </cell>
          <cell r="C2">
            <v>0</v>
          </cell>
          <cell r="D2">
            <v>0</v>
          </cell>
        </row>
        <row r="3">
          <cell r="A3" t="str">
            <v>2012Q1</v>
          </cell>
          <cell r="B3">
            <v>11894401.067</v>
          </cell>
          <cell r="C3">
            <v>0</v>
          </cell>
          <cell r="D3">
            <v>0</v>
          </cell>
        </row>
        <row r="4">
          <cell r="A4" t="str">
            <v>2012Q2</v>
          </cell>
          <cell r="B4">
            <v>11180375.289999999</v>
          </cell>
          <cell r="C4">
            <v>20452.04</v>
          </cell>
          <cell r="D4">
            <v>18894.22</v>
          </cell>
        </row>
        <row r="5">
          <cell r="A5" t="str">
            <v>2012Q3</v>
          </cell>
          <cell r="B5">
            <v>5958192.3200000003</v>
          </cell>
          <cell r="C5">
            <v>1021931.81</v>
          </cell>
          <cell r="D5">
            <v>997125.51</v>
          </cell>
        </row>
        <row r="6">
          <cell r="A6" t="str">
            <v>2012Q4</v>
          </cell>
          <cell r="B6">
            <v>4977341.1950000003</v>
          </cell>
          <cell r="C6">
            <v>958758.11</v>
          </cell>
          <cell r="D6">
            <v>920235.21</v>
          </cell>
        </row>
        <row r="7">
          <cell r="A7" t="str">
            <v>2013Q1</v>
          </cell>
          <cell r="B7">
            <v>20530521.18</v>
          </cell>
          <cell r="C7">
            <v>5088095.42</v>
          </cell>
          <cell r="D7">
            <v>4728496.51</v>
          </cell>
        </row>
        <row r="8">
          <cell r="A8" t="str">
            <v>2013Q2</v>
          </cell>
          <cell r="B8">
            <v>15478651.311000001</v>
          </cell>
          <cell r="C8">
            <v>4132356.82</v>
          </cell>
          <cell r="D8">
            <v>3880490.41</v>
          </cell>
        </row>
        <row r="9">
          <cell r="A9" t="str">
            <v>2013Q3</v>
          </cell>
          <cell r="B9">
            <v>7881359.7999999998</v>
          </cell>
          <cell r="C9">
            <v>2787239.14</v>
          </cell>
          <cell r="D9">
            <v>2585237.8199999998</v>
          </cell>
        </row>
        <row r="10">
          <cell r="A10" t="str">
            <v>2013Q4</v>
          </cell>
          <cell r="B10">
            <v>6688197.3140000002</v>
          </cell>
          <cell r="C10">
            <v>3134745.23</v>
          </cell>
          <cell r="D10">
            <v>2900282.12</v>
          </cell>
        </row>
        <row r="11">
          <cell r="A11" t="str">
            <v>2014Q1</v>
          </cell>
          <cell r="B11">
            <v>24924669.829999998</v>
          </cell>
          <cell r="C11">
            <v>11666826.23</v>
          </cell>
          <cell r="D11">
            <v>10555290.48</v>
          </cell>
        </row>
        <row r="12">
          <cell r="A12" t="str">
            <v>2014Q2</v>
          </cell>
          <cell r="B12">
            <v>21093749.48</v>
          </cell>
          <cell r="C12">
            <v>10385078.609999999</v>
          </cell>
          <cell r="D12">
            <v>9465985.7599999998</v>
          </cell>
        </row>
        <row r="13">
          <cell r="A13" t="str">
            <v>2014Q3</v>
          </cell>
          <cell r="B13">
            <v>12764381.57</v>
          </cell>
          <cell r="C13">
            <v>6791313.9800000004</v>
          </cell>
          <cell r="D13">
            <v>6089292.6200000001</v>
          </cell>
        </row>
        <row r="14">
          <cell r="A14" t="str">
            <v>2014Q4</v>
          </cell>
          <cell r="B14">
            <v>16079790.619999999</v>
          </cell>
          <cell r="C14">
            <v>9265391.0899999999</v>
          </cell>
          <cell r="D14">
            <v>8150367</v>
          </cell>
        </row>
        <row r="15">
          <cell r="A15" t="str">
            <v>2015Q1</v>
          </cell>
          <cell r="B15">
            <v>96482746.099999905</v>
          </cell>
          <cell r="C15">
            <v>62434945.840000004</v>
          </cell>
          <cell r="D15">
            <v>54125943.32</v>
          </cell>
        </row>
        <row r="16">
          <cell r="A16" t="str">
            <v>2015Q2</v>
          </cell>
          <cell r="B16">
            <v>55380358.93</v>
          </cell>
          <cell r="C16">
            <v>36235346.909999996</v>
          </cell>
          <cell r="D16">
            <v>31314248.559999999</v>
          </cell>
        </row>
        <row r="17">
          <cell r="A17" t="str">
            <v>2015Q3</v>
          </cell>
          <cell r="B17">
            <v>30620725.129999999</v>
          </cell>
          <cell r="C17">
            <v>21300490.34</v>
          </cell>
          <cell r="D17">
            <v>18036747.640000001</v>
          </cell>
        </row>
        <row r="18">
          <cell r="A18" t="str">
            <v>2015Q4</v>
          </cell>
          <cell r="B18">
            <v>35713776.659999996</v>
          </cell>
          <cell r="C18">
            <v>26470475.68</v>
          </cell>
          <cell r="D18">
            <v>22375869.16</v>
          </cell>
        </row>
        <row r="19">
          <cell r="A19" t="str">
            <v>2016Q1</v>
          </cell>
          <cell r="B19">
            <v>49093342.770000003</v>
          </cell>
          <cell r="C19">
            <v>41672151.75</v>
          </cell>
          <cell r="D19">
            <v>34655887.530000001</v>
          </cell>
        </row>
        <row r="20">
          <cell r="A20" t="str">
            <v>2016Q2</v>
          </cell>
          <cell r="B20">
            <v>29172441.629999999</v>
          </cell>
          <cell r="C20">
            <v>26602793.890000001</v>
          </cell>
          <cell r="D20">
            <v>22023906.609999999</v>
          </cell>
        </row>
        <row r="21">
          <cell r="A21" t="str">
            <v>2016Q3</v>
          </cell>
          <cell r="B21">
            <v>294586.81</v>
          </cell>
          <cell r="C21">
            <v>245501.49</v>
          </cell>
          <cell r="D21">
            <v>199521.52</v>
          </cell>
        </row>
      </sheetData>
      <sheetData sheetId="6">
        <row r="2">
          <cell r="A2" t="str">
            <v>0 to 6 months</v>
          </cell>
          <cell r="B2">
            <v>1818318.91</v>
          </cell>
          <cell r="C2">
            <v>0</v>
          </cell>
          <cell r="D2">
            <v>0</v>
          </cell>
        </row>
        <row r="3">
          <cell r="A3" t="str">
            <v>07 to 12 months</v>
          </cell>
          <cell r="B3">
            <v>12895787.380000001</v>
          </cell>
          <cell r="C3">
            <v>7452.04</v>
          </cell>
          <cell r="D3">
            <v>7038.51</v>
          </cell>
        </row>
        <row r="4">
          <cell r="A4" t="str">
            <v>13 to 18 months</v>
          </cell>
          <cell r="B4">
            <v>102494544.77</v>
          </cell>
          <cell r="C4">
            <v>80936707.909999907</v>
          </cell>
          <cell r="D4">
            <v>68307008.079999998</v>
          </cell>
        </row>
        <row r="5">
          <cell r="A5" t="str">
            <v>19 to 24 months</v>
          </cell>
          <cell r="B5">
            <v>157741183.78999999</v>
          </cell>
          <cell r="C5">
            <v>100476011.14</v>
          </cell>
          <cell r="D5">
            <v>86793891.370000005</v>
          </cell>
        </row>
        <row r="6">
          <cell r="A6" t="str">
            <v>25 to 30 months</v>
          </cell>
          <cell r="B6">
            <v>102229078.77</v>
          </cell>
          <cell r="C6">
            <v>61151911.759999998</v>
          </cell>
          <cell r="D6">
            <v>53332324.140000001</v>
          </cell>
        </row>
        <row r="7">
          <cell r="A7" t="str">
            <v>31 to 36 months</v>
          </cell>
          <cell r="B7">
            <v>30682464.280000001</v>
          </cell>
          <cell r="C7">
            <v>16583725.74</v>
          </cell>
          <cell r="D7">
            <v>14436551.210000001</v>
          </cell>
        </row>
        <row r="8">
          <cell r="A8" t="str">
            <v>37 to 42 months</v>
          </cell>
          <cell r="B8">
            <v>12277344.33</v>
          </cell>
          <cell r="C8">
            <v>4595875.72</v>
          </cell>
          <cell r="D8">
            <v>4207535.28</v>
          </cell>
        </row>
        <row r="9">
          <cell r="A9" t="str">
            <v>43 to 48 months</v>
          </cell>
          <cell r="B9">
            <v>8027843.142</v>
          </cell>
          <cell r="C9">
            <v>2052848.05</v>
          </cell>
          <cell r="D9">
            <v>1848449.57</v>
          </cell>
        </row>
        <row r="10">
          <cell r="A10" t="str">
            <v>49 to 54 months</v>
          </cell>
          <cell r="B10">
            <v>5148425.2989999996</v>
          </cell>
          <cell r="C10">
            <v>916331.74</v>
          </cell>
          <cell r="D10">
            <v>836602.24</v>
          </cell>
        </row>
        <row r="11">
          <cell r="A11" t="str">
            <v>55 to 60 months</v>
          </cell>
          <cell r="B11">
            <v>23603270.715999998</v>
          </cell>
          <cell r="C11">
            <v>3493030.28</v>
          </cell>
          <cell r="D11">
            <v>3254421.6</v>
          </cell>
        </row>
      </sheetData>
      <sheetData sheetId="7">
        <row r="2">
          <cell r="A2" t="str">
            <v>0 - 30 Days</v>
          </cell>
          <cell r="B2">
            <v>311672.40999999997</v>
          </cell>
          <cell r="C2">
            <v>3346</v>
          </cell>
          <cell r="D2">
            <v>231616820.46000001</v>
          </cell>
        </row>
        <row r="3">
          <cell r="A3" t="str">
            <v>121 - 150 Days</v>
          </cell>
          <cell r="B3">
            <v>65528.87</v>
          </cell>
          <cell r="C3">
            <v>5</v>
          </cell>
          <cell r="D3">
            <v>244382.72</v>
          </cell>
        </row>
        <row r="4">
          <cell r="A4" t="str">
            <v>151 - 180 Days</v>
          </cell>
          <cell r="B4">
            <v>79793.179999999993</v>
          </cell>
          <cell r="C4">
            <v>2</v>
          </cell>
          <cell r="D4">
            <v>275963.84000000003</v>
          </cell>
        </row>
        <row r="5">
          <cell r="A5" t="str">
            <v>31 - 60 Days</v>
          </cell>
          <cell r="B5">
            <v>203884.43</v>
          </cell>
          <cell r="C5">
            <v>11</v>
          </cell>
          <cell r="D5">
            <v>651310.29</v>
          </cell>
        </row>
        <row r="6">
          <cell r="A6" t="str">
            <v>61 - 90 Days</v>
          </cell>
          <cell r="B6">
            <v>59733.27</v>
          </cell>
          <cell r="C6">
            <v>4</v>
          </cell>
          <cell r="D6">
            <v>235344.69</v>
          </cell>
        </row>
      </sheetData>
      <sheetData sheetId="8">
        <row r="2">
          <cell r="E2">
            <v>1250524.8600000001</v>
          </cell>
        </row>
        <row r="3">
          <cell r="E3">
            <v>845411.85</v>
          </cell>
        </row>
        <row r="4">
          <cell r="E4">
            <v>721832.5</v>
          </cell>
        </row>
        <row r="5">
          <cell r="E5">
            <v>702565.55</v>
          </cell>
        </row>
        <row r="6">
          <cell r="E6">
            <v>672075.73</v>
          </cell>
        </row>
      </sheetData>
      <sheetData sheetId="9">
        <row r="2">
          <cell r="A2" t="str">
            <v>10% to 20%</v>
          </cell>
          <cell r="B2">
            <v>8</v>
          </cell>
          <cell r="C2">
            <v>373596.38</v>
          </cell>
          <cell r="D2">
            <v>195453.89</v>
          </cell>
        </row>
        <row r="3">
          <cell r="A3" t="str">
            <v>21% to 30%</v>
          </cell>
          <cell r="B3">
            <v>54</v>
          </cell>
          <cell r="C3">
            <v>4502325.26</v>
          </cell>
          <cell r="D3">
            <v>2509826.19</v>
          </cell>
        </row>
        <row r="4">
          <cell r="A4" t="str">
            <v>31% to 40%</v>
          </cell>
          <cell r="B4">
            <v>142</v>
          </cell>
          <cell r="C4">
            <v>15549246.050000001</v>
          </cell>
          <cell r="D4">
            <v>9524549.3900000006</v>
          </cell>
        </row>
        <row r="5">
          <cell r="A5" t="str">
            <v>41% to 50%</v>
          </cell>
          <cell r="B5">
            <v>276</v>
          </cell>
          <cell r="C5">
            <v>30302633.75</v>
          </cell>
          <cell r="D5">
            <v>17785068.760000002</v>
          </cell>
        </row>
        <row r="6">
          <cell r="A6" t="str">
            <v>51% to 60%</v>
          </cell>
          <cell r="B6">
            <v>329</v>
          </cell>
          <cell r="C6">
            <v>42938851.545000002</v>
          </cell>
          <cell r="D6">
            <v>25594825.149999999</v>
          </cell>
        </row>
        <row r="7">
          <cell r="A7" t="str">
            <v>61% to 70%</v>
          </cell>
          <cell r="B7">
            <v>436</v>
          </cell>
          <cell r="C7">
            <v>49273484.270999998</v>
          </cell>
          <cell r="D7">
            <v>29695532.199999999</v>
          </cell>
        </row>
        <row r="8">
          <cell r="A8" t="str">
            <v>71% to 80%</v>
          </cell>
          <cell r="B8">
            <v>525</v>
          </cell>
          <cell r="C8">
            <v>57474463.899999999</v>
          </cell>
          <cell r="D8">
            <v>33776326.229999997</v>
          </cell>
        </row>
        <row r="9">
          <cell r="A9" t="str">
            <v>81% to 90%</v>
          </cell>
          <cell r="B9">
            <v>798</v>
          </cell>
          <cell r="C9">
            <v>101106361.502</v>
          </cell>
          <cell r="D9">
            <v>60670755.460000001</v>
          </cell>
        </row>
        <row r="10">
          <cell r="A10" t="str">
            <v>91% to 100%</v>
          </cell>
          <cell r="B10">
            <v>800</v>
          </cell>
          <cell r="C10">
            <v>91211688.847000003</v>
          </cell>
          <cell r="D10">
            <v>53271484.729999997</v>
          </cell>
        </row>
      </sheetData>
      <sheetData sheetId="10">
        <row r="2">
          <cell r="A2" t="str">
            <v>&gt; 12%</v>
          </cell>
          <cell r="B2">
            <v>781012318</v>
          </cell>
          <cell r="C2">
            <v>0.13054887179487201</v>
          </cell>
          <cell r="D2">
            <v>5684546.7999999998</v>
          </cell>
        </row>
        <row r="3">
          <cell r="A3" t="str">
            <v>10% to 11%</v>
          </cell>
          <cell r="B3">
            <v>2422877875</v>
          </cell>
          <cell r="C3">
            <v>0.104064173553719</v>
          </cell>
          <cell r="D3">
            <v>8733827.3800000008</v>
          </cell>
        </row>
        <row r="4">
          <cell r="A4" t="str">
            <v>11% to 12%</v>
          </cell>
          <cell r="B4">
            <v>961142066</v>
          </cell>
          <cell r="C4">
            <v>0.114328010416667</v>
          </cell>
          <cell r="D4">
            <v>5806771.6399999997</v>
          </cell>
        </row>
        <row r="5">
          <cell r="A5" t="str">
            <v>4% to 5%</v>
          </cell>
          <cell r="B5">
            <v>2613110960</v>
          </cell>
          <cell r="C5">
            <v>4.6938007633587797E-2</v>
          </cell>
          <cell r="D5">
            <v>4772841.7699999996</v>
          </cell>
        </row>
        <row r="6">
          <cell r="A6" t="str">
            <v>5% to 6%</v>
          </cell>
          <cell r="B6">
            <v>5126742177</v>
          </cell>
          <cell r="C6">
            <v>5.6903468085106199E-2</v>
          </cell>
          <cell r="D6">
            <v>25756137.5</v>
          </cell>
        </row>
        <row r="7">
          <cell r="A7" t="str">
            <v>6% to 7%</v>
          </cell>
          <cell r="B7">
            <v>7235016263</v>
          </cell>
          <cell r="C7">
            <v>6.6449581336695707E-2</v>
          </cell>
          <cell r="D7">
            <v>63017345.689999998</v>
          </cell>
        </row>
        <row r="8">
          <cell r="A8" t="str">
            <v>7% to 8%</v>
          </cell>
          <cell r="B8">
            <v>7472712967</v>
          </cell>
          <cell r="C8">
            <v>7.5328306329114095E-2</v>
          </cell>
          <cell r="D8">
            <v>61422637.090000004</v>
          </cell>
        </row>
        <row r="9">
          <cell r="A9" t="str">
            <v>8% to 9%</v>
          </cell>
          <cell r="B9">
            <v>5688118944</v>
          </cell>
          <cell r="C9">
            <v>8.6912137457044694E-2</v>
          </cell>
          <cell r="D9">
            <v>38305583.810000002</v>
          </cell>
        </row>
        <row r="10">
          <cell r="A10" t="str">
            <v>9% to 10%</v>
          </cell>
          <cell r="B10">
            <v>5226167583</v>
          </cell>
          <cell r="C10">
            <v>9.5264204980842399E-2</v>
          </cell>
          <cell r="D10">
            <v>19524130.32</v>
          </cell>
        </row>
      </sheetData>
      <sheetData sheetId="11">
        <row r="2">
          <cell r="A2" t="str">
            <v>Finance Lease</v>
          </cell>
          <cell r="B2">
            <v>3138263.46</v>
          </cell>
        </row>
        <row r="3">
          <cell r="A3" t="str">
            <v>Goods Mortgage</v>
          </cell>
          <cell r="B3">
            <v>225256860.84</v>
          </cell>
        </row>
        <row r="4">
          <cell r="A4" t="str">
            <v>Hire Purchase</v>
          </cell>
          <cell r="B4">
            <v>4628697.7</v>
          </cell>
        </row>
      </sheetData>
      <sheetData sheetId="12">
        <row r="2">
          <cell r="A2" t="str">
            <v>New</v>
          </cell>
          <cell r="B2">
            <v>184734793.96000001</v>
          </cell>
        </row>
        <row r="3">
          <cell r="A3" t="str">
            <v>Others</v>
          </cell>
          <cell r="B3">
            <v>4695.25</v>
          </cell>
        </row>
        <row r="4">
          <cell r="A4" t="str">
            <v>Used</v>
          </cell>
          <cell r="B4">
            <v>48284332.789999999</v>
          </cell>
        </row>
      </sheetData>
      <sheetData sheetId="13"/>
      <sheetData sheetId="14">
        <row r="2">
          <cell r="A2" t="str">
            <v>Hardship Refinance</v>
          </cell>
          <cell r="B2">
            <v>4659041.4000000004</v>
          </cell>
        </row>
        <row r="3">
          <cell r="A3" t="str">
            <v>Non Hardship Refinance</v>
          </cell>
          <cell r="B3">
            <v>228364780.59999999</v>
          </cell>
        </row>
      </sheetData>
      <sheetData sheetId="15">
        <row r="2">
          <cell r="A2" t="str">
            <v>0-12 Months</v>
          </cell>
          <cell r="B2">
            <v>12996099.439999999</v>
          </cell>
        </row>
        <row r="3">
          <cell r="A3" t="str">
            <v>13-24 Months</v>
          </cell>
          <cell r="B3">
            <v>28884658.300000001</v>
          </cell>
        </row>
        <row r="4">
          <cell r="A4" t="str">
            <v>25-36 Months</v>
          </cell>
          <cell r="B4">
            <v>112054718.62</v>
          </cell>
        </row>
        <row r="5">
          <cell r="A5" t="str">
            <v>37-48 Months</v>
          </cell>
          <cell r="B5">
            <v>79088345.640000001</v>
          </cell>
        </row>
      </sheetData>
      <sheetData sheetId="16">
        <row r="2">
          <cell r="A2" t="str">
            <v>6 Consecutive</v>
          </cell>
          <cell r="B2">
            <v>1365641.29</v>
          </cell>
        </row>
        <row r="3">
          <cell r="A3" t="str">
            <v>Annual</v>
          </cell>
          <cell r="B3">
            <v>155632105.47999999</v>
          </cell>
        </row>
        <row r="4">
          <cell r="A4" t="str">
            <v>Monthly</v>
          </cell>
          <cell r="B4">
            <v>49303401.340000004</v>
          </cell>
        </row>
        <row r="5">
          <cell r="A5" t="str">
            <v>Quarterly</v>
          </cell>
          <cell r="B5">
            <v>3335920.15</v>
          </cell>
        </row>
        <row r="6">
          <cell r="A6" t="str">
            <v>Semi Annual</v>
          </cell>
          <cell r="B6">
            <v>20373568.41</v>
          </cell>
        </row>
        <row r="7">
          <cell r="A7" t="str">
            <v>Structured</v>
          </cell>
          <cell r="B7">
            <v>3013185.33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00__GEOGRAPHIC_DISTRIBUTION"/>
      <sheetName val="(901__COLLATERAL_TYPE"/>
      <sheetName val="(902__TOP_INDUSTRY_DISTRIBUTION"/>
      <sheetName val="(904__RESIDUAL_BALLOON_PAYMENT"/>
      <sheetName val="(905__CLIENT_BALANCE_DISTRIBUTI"/>
      <sheetName val="(906__MATURITY_QUARTER_AND_YEAR"/>
      <sheetName val="(907__SEASONING_DISTRIBUTION"/>
      <sheetName val="(908__ARREARS_REPORTING"/>
      <sheetName val="(909__OBLIGOR_EXPOSURE"/>
      <sheetName val="(910__LVR_DISTRIBUTION"/>
      <sheetName val="(911__CONTRACT_YIELD"/>
      <sheetName val="(913__Product_Type"/>
      <sheetName val="(914__New_v_Used"/>
      <sheetName val="(915__Consolidated_Client_Balan"/>
      <sheetName val="(916__Contract_by_Source"/>
      <sheetName val="(917__Remaining_Term"/>
      <sheetName val="(918__Payment_Frequency"/>
    </sheetNames>
    <sheetDataSet>
      <sheetData sheetId="0">
        <row r="1">
          <cell r="A1" t="str">
            <v>StateDesc</v>
          </cell>
          <cell r="B1" t="str">
            <v>Count</v>
          </cell>
          <cell r="C1" t="str">
            <v>SumOfOSPrincipal</v>
          </cell>
        </row>
        <row r="2">
          <cell r="A2" t="str">
            <v>ACT</v>
          </cell>
          <cell r="B2">
            <v>6</v>
          </cell>
          <cell r="C2">
            <v>336763.13</v>
          </cell>
        </row>
        <row r="3">
          <cell r="A3" t="str">
            <v>NSW</v>
          </cell>
          <cell r="B3">
            <v>1147</v>
          </cell>
          <cell r="C3">
            <v>84062379.870000094</v>
          </cell>
        </row>
        <row r="4">
          <cell r="A4" t="str">
            <v>NT</v>
          </cell>
          <cell r="B4">
            <v>1</v>
          </cell>
          <cell r="C4">
            <v>127856.86</v>
          </cell>
        </row>
        <row r="5">
          <cell r="A5" t="str">
            <v>QLD</v>
          </cell>
          <cell r="B5">
            <v>543</v>
          </cell>
          <cell r="C5">
            <v>31910868.059999999</v>
          </cell>
        </row>
        <row r="6">
          <cell r="A6" t="str">
            <v>SA</v>
          </cell>
          <cell r="B6">
            <v>560</v>
          </cell>
          <cell r="C6">
            <v>41235728.100000001</v>
          </cell>
        </row>
        <row r="7">
          <cell r="A7" t="str">
            <v>TAS</v>
          </cell>
          <cell r="B7">
            <v>63</v>
          </cell>
          <cell r="C7">
            <v>2640367.71</v>
          </cell>
        </row>
        <row r="8">
          <cell r="A8" t="str">
            <v>VIC</v>
          </cell>
          <cell r="B8">
            <v>767</v>
          </cell>
          <cell r="C8">
            <v>57059563.689999998</v>
          </cell>
        </row>
        <row r="9">
          <cell r="A9" t="str">
            <v>WA</v>
          </cell>
          <cell r="B9">
            <v>419</v>
          </cell>
          <cell r="C9">
            <v>36014916.490000002</v>
          </cell>
        </row>
      </sheetData>
      <sheetData sheetId="1">
        <row r="1">
          <cell r="A1" t="str">
            <v>Purpose</v>
          </cell>
          <cell r="B1" t="str">
            <v>Count</v>
          </cell>
          <cell r="C1" t="str">
            <v>SumOfOSPrincipal</v>
          </cell>
        </row>
        <row r="2">
          <cell r="A2" t="str">
            <v>4 EWD TRACTORS</v>
          </cell>
          <cell r="B2">
            <v>365</v>
          </cell>
          <cell r="C2">
            <v>36044617.479999997</v>
          </cell>
        </row>
        <row r="3">
          <cell r="A3" t="str">
            <v>40&lt;100 HP TRACTOR</v>
          </cell>
          <cell r="B3">
            <v>604</v>
          </cell>
          <cell r="C3">
            <v>16798948.079999998</v>
          </cell>
        </row>
        <row r="4">
          <cell r="A4" t="str">
            <v>4WD Vehicle</v>
          </cell>
          <cell r="B4">
            <v>1</v>
          </cell>
          <cell r="C4">
            <v>46089.57</v>
          </cell>
        </row>
        <row r="5">
          <cell r="A5" t="str">
            <v>BACKHOES</v>
          </cell>
          <cell r="B5">
            <v>8</v>
          </cell>
          <cell r="C5">
            <v>479743.71</v>
          </cell>
        </row>
        <row r="6">
          <cell r="A6" t="str">
            <v>BALERS, WINDROWERS, MOWERS, RAKES</v>
          </cell>
          <cell r="B6">
            <v>343</v>
          </cell>
          <cell r="C6">
            <v>11302379.359999999</v>
          </cell>
        </row>
        <row r="7">
          <cell r="A7" t="str">
            <v>COMBINES</v>
          </cell>
          <cell r="B7">
            <v>431</v>
          </cell>
          <cell r="C7">
            <v>70439807.189999998</v>
          </cell>
        </row>
        <row r="8">
          <cell r="A8" t="str">
            <v>COMMERCIAL VEHICLE</v>
          </cell>
          <cell r="B8">
            <v>30</v>
          </cell>
          <cell r="C8">
            <v>733966.2</v>
          </cell>
        </row>
        <row r="9">
          <cell r="A9" t="str">
            <v>COTTON PICKERS</v>
          </cell>
          <cell r="B9">
            <v>5</v>
          </cell>
          <cell r="C9">
            <v>393205.5</v>
          </cell>
        </row>
        <row r="10">
          <cell r="A10" t="str">
            <v>CRAWLERS / DOZERS</v>
          </cell>
          <cell r="B10">
            <v>5</v>
          </cell>
          <cell r="C10">
            <v>1531415.99</v>
          </cell>
        </row>
        <row r="11">
          <cell r="A11" t="str">
            <v>CULTIVATORS,SEEDERS, HARROWS</v>
          </cell>
          <cell r="B11">
            <v>170</v>
          </cell>
          <cell r="C11">
            <v>10808473.85</v>
          </cell>
        </row>
        <row r="12">
          <cell r="A12" t="str">
            <v>DRILL</v>
          </cell>
          <cell r="B12">
            <v>9</v>
          </cell>
          <cell r="C12">
            <v>503177.82</v>
          </cell>
        </row>
        <row r="13">
          <cell r="A13" t="str">
            <v>DUMP TRUCKS</v>
          </cell>
          <cell r="B13">
            <v>7</v>
          </cell>
          <cell r="C13">
            <v>1374671.33</v>
          </cell>
        </row>
        <row r="14">
          <cell r="A14" t="str">
            <v>EXCAVATORS / GRADERS</v>
          </cell>
          <cell r="B14">
            <v>73</v>
          </cell>
          <cell r="C14">
            <v>6315048.1900000004</v>
          </cell>
        </row>
        <row r="15">
          <cell r="A15" t="str">
            <v>FEEDERS, MIXERS, WAGONS, BINS, FEED STORAGE</v>
          </cell>
          <cell r="B15">
            <v>19</v>
          </cell>
          <cell r="C15">
            <v>659855.07999999996</v>
          </cell>
        </row>
        <row r="16">
          <cell r="A16" t="str">
            <v>FRONT END LOADER</v>
          </cell>
          <cell r="B16">
            <v>12</v>
          </cell>
          <cell r="C16">
            <v>447390.4</v>
          </cell>
        </row>
        <row r="17">
          <cell r="A17" t="str">
            <v>FRONTS</v>
          </cell>
          <cell r="B17">
            <v>54</v>
          </cell>
          <cell r="C17">
            <v>2313126.0099999998</v>
          </cell>
        </row>
        <row r="18">
          <cell r="A18" t="str">
            <v>GUIDANCE SYSTEMS</v>
          </cell>
          <cell r="B18">
            <v>65</v>
          </cell>
          <cell r="C18">
            <v>1187561.51</v>
          </cell>
        </row>
        <row r="19">
          <cell r="A19" t="str">
            <v>HARVESTERS - Other</v>
          </cell>
          <cell r="B19">
            <v>26</v>
          </cell>
          <cell r="C19">
            <v>2517734.1800000002</v>
          </cell>
        </row>
        <row r="20">
          <cell r="A20" t="str">
            <v>IRRIGATION EQUIPMENT</v>
          </cell>
          <cell r="B20">
            <v>2</v>
          </cell>
          <cell r="C20">
            <v>67478.679999999993</v>
          </cell>
        </row>
        <row r="21">
          <cell r="A21" t="str">
            <v>MATERIALS HANDLING EQUIPMENT</v>
          </cell>
          <cell r="B21">
            <v>11</v>
          </cell>
          <cell r="C21">
            <v>1261832.26</v>
          </cell>
        </row>
        <row r="22">
          <cell r="A22" t="str">
            <v>OTHER AG</v>
          </cell>
          <cell r="B22">
            <v>45</v>
          </cell>
          <cell r="C22">
            <v>1805500.11</v>
          </cell>
        </row>
        <row r="23">
          <cell r="A23" t="str">
            <v>OTHER CE</v>
          </cell>
          <cell r="B23">
            <v>6</v>
          </cell>
          <cell r="C23">
            <v>447403.57</v>
          </cell>
        </row>
        <row r="24">
          <cell r="A24" t="str">
            <v>OVER 100 HP TRACTOR</v>
          </cell>
          <cell r="B24">
            <v>985</v>
          </cell>
          <cell r="C24">
            <v>68275755.230000004</v>
          </cell>
        </row>
        <row r="25">
          <cell r="A25" t="str">
            <v>ROLLERS</v>
          </cell>
          <cell r="B25">
            <v>3</v>
          </cell>
          <cell r="C25">
            <v>135892.21</v>
          </cell>
        </row>
        <row r="26">
          <cell r="A26" t="str">
            <v>SCRAPERS</v>
          </cell>
          <cell r="B26">
            <v>5</v>
          </cell>
          <cell r="C26">
            <v>909139.93</v>
          </cell>
        </row>
        <row r="27">
          <cell r="A27" t="str">
            <v>SKIDSTEER / UNILOADER</v>
          </cell>
          <cell r="B27">
            <v>36</v>
          </cell>
          <cell r="C27">
            <v>1206873.97</v>
          </cell>
        </row>
        <row r="28">
          <cell r="A28" t="str">
            <v>SPRAYING EQUIPMENT</v>
          </cell>
          <cell r="B28">
            <v>118</v>
          </cell>
          <cell r="C28">
            <v>13427615.43</v>
          </cell>
        </row>
        <row r="29">
          <cell r="A29" t="str">
            <v>UNDER 40 HP TRACTORS</v>
          </cell>
          <cell r="B29">
            <v>53</v>
          </cell>
          <cell r="C29">
            <v>799802.71</v>
          </cell>
        </row>
        <row r="30">
          <cell r="A30" t="str">
            <v>WHEEL LOADERS</v>
          </cell>
          <cell r="B30">
            <v>15</v>
          </cell>
          <cell r="C30">
            <v>1153938.3600000001</v>
          </cell>
        </row>
      </sheetData>
      <sheetData sheetId="2">
        <row r="1">
          <cell r="A1" t="str">
            <v>AGvCE</v>
          </cell>
          <cell r="B1" t="str">
            <v>Count</v>
          </cell>
          <cell r="C1" t="str">
            <v>SumOfOSPrincipal</v>
          </cell>
        </row>
        <row r="2">
          <cell r="A2" t="str">
            <v>AGRICULTURAL MACHINERY</v>
          </cell>
          <cell r="B2">
            <v>3307</v>
          </cell>
          <cell r="C2">
            <v>237838518.19</v>
          </cell>
        </row>
        <row r="3">
          <cell r="A3" t="str">
            <v>CONSTRUCTION EQUIPMENT</v>
          </cell>
          <cell r="B3">
            <v>169</v>
          </cell>
          <cell r="C3">
            <v>14815959.52</v>
          </cell>
        </row>
        <row r="4">
          <cell r="A4" t="str">
            <v>MOTOR VEHICLE - AG</v>
          </cell>
          <cell r="B4">
            <v>30</v>
          </cell>
          <cell r="C4">
            <v>733966.2</v>
          </cell>
        </row>
      </sheetData>
      <sheetData sheetId="3">
        <row r="1">
          <cell r="A1" t="str">
            <v>RF%Range</v>
          </cell>
          <cell r="B1" t="str">
            <v>Count</v>
          </cell>
          <cell r="C1" t="str">
            <v>SumOfOSPrincipal</v>
          </cell>
        </row>
        <row r="2">
          <cell r="A2" t="str">
            <v>0</v>
          </cell>
          <cell r="B2">
            <v>3150</v>
          </cell>
          <cell r="C2">
            <v>212178995.38999999</v>
          </cell>
        </row>
        <row r="3">
          <cell r="A3" t="str">
            <v>0 to 5</v>
          </cell>
          <cell r="B3">
            <v>68</v>
          </cell>
          <cell r="C3">
            <v>9521511.0700000003</v>
          </cell>
        </row>
        <row r="4">
          <cell r="A4" t="str">
            <v>06 to 10</v>
          </cell>
          <cell r="B4">
            <v>48</v>
          </cell>
          <cell r="C4">
            <v>5751326.1900000004</v>
          </cell>
        </row>
        <row r="5">
          <cell r="A5" t="str">
            <v>11 to 15</v>
          </cell>
          <cell r="B5">
            <v>41</v>
          </cell>
          <cell r="C5">
            <v>7768393.3300000001</v>
          </cell>
        </row>
        <row r="6">
          <cell r="A6" t="str">
            <v>16 to 20</v>
          </cell>
          <cell r="B6">
            <v>52</v>
          </cell>
          <cell r="C6">
            <v>4089526.65</v>
          </cell>
        </row>
        <row r="7">
          <cell r="A7" t="str">
            <v>21 to 25</v>
          </cell>
          <cell r="B7">
            <v>35</v>
          </cell>
          <cell r="C7">
            <v>3423859.65</v>
          </cell>
        </row>
        <row r="8">
          <cell r="A8" t="str">
            <v>26 to 30</v>
          </cell>
          <cell r="B8">
            <v>63</v>
          </cell>
          <cell r="C8">
            <v>5966883.1900000004</v>
          </cell>
        </row>
        <row r="9">
          <cell r="A9" t="str">
            <v>31 to 35</v>
          </cell>
          <cell r="B9">
            <v>15</v>
          </cell>
          <cell r="C9">
            <v>1790208.41</v>
          </cell>
        </row>
        <row r="10">
          <cell r="A10" t="str">
            <v>36 to 40</v>
          </cell>
          <cell r="B10">
            <v>15</v>
          </cell>
          <cell r="C10">
            <v>936825.85</v>
          </cell>
        </row>
        <row r="11">
          <cell r="A11" t="str">
            <v>41+%</v>
          </cell>
          <cell r="B11">
            <v>19</v>
          </cell>
          <cell r="C11">
            <v>1960914.18</v>
          </cell>
        </row>
      </sheetData>
      <sheetData sheetId="4">
        <row r="1">
          <cell r="A1" t="str">
            <v>ActualBalanceDistribution</v>
          </cell>
          <cell r="B1" t="str">
            <v>Count</v>
          </cell>
          <cell r="C1" t="str">
            <v>SumOfOSPrincipal</v>
          </cell>
        </row>
        <row r="2">
          <cell r="A2" t="str">
            <v>$ 0 - $25,000</v>
          </cell>
          <cell r="B2">
            <v>1022</v>
          </cell>
          <cell r="C2">
            <v>15289089.98</v>
          </cell>
        </row>
        <row r="3">
          <cell r="A3" t="str">
            <v>$ 25,001 to $50,000</v>
          </cell>
          <cell r="B3">
            <v>839</v>
          </cell>
          <cell r="C3">
            <v>30835336.890000001</v>
          </cell>
        </row>
        <row r="4">
          <cell r="A4" t="str">
            <v>$ 50,001 to $75,000</v>
          </cell>
          <cell r="B4">
            <v>510</v>
          </cell>
          <cell r="C4">
            <v>31006613.800000001</v>
          </cell>
        </row>
        <row r="5">
          <cell r="A5" t="str">
            <v>$ 75,001 to $100,000</v>
          </cell>
          <cell r="B5">
            <v>322</v>
          </cell>
          <cell r="C5">
            <v>27600706.629999999</v>
          </cell>
        </row>
        <row r="6">
          <cell r="A6" t="str">
            <v>$100,001 to $125,000</v>
          </cell>
          <cell r="B6">
            <v>207</v>
          </cell>
          <cell r="C6">
            <v>23083644.809999999</v>
          </cell>
        </row>
        <row r="7">
          <cell r="A7" t="str">
            <v>$125,001 to $150,000</v>
          </cell>
          <cell r="B7">
            <v>158</v>
          </cell>
          <cell r="C7">
            <v>21499048.390000001</v>
          </cell>
        </row>
        <row r="8">
          <cell r="A8" t="str">
            <v>$150,000 to $200,000</v>
          </cell>
          <cell r="B8">
            <v>208</v>
          </cell>
          <cell r="C8">
            <v>36131449.869999997</v>
          </cell>
        </row>
        <row r="9">
          <cell r="A9" t="str">
            <v>$200,001 to $300,000</v>
          </cell>
          <cell r="B9">
            <v>170</v>
          </cell>
          <cell r="C9">
            <v>40722407.549999997</v>
          </cell>
        </row>
        <row r="10">
          <cell r="A10" t="str">
            <v>$300,001 to $400,000</v>
          </cell>
          <cell r="B10">
            <v>55</v>
          </cell>
          <cell r="C10">
            <v>18827065.16</v>
          </cell>
        </row>
        <row r="11">
          <cell r="A11" t="str">
            <v>$400,001 to $500,000</v>
          </cell>
          <cell r="B11">
            <v>7</v>
          </cell>
          <cell r="C11">
            <v>3173159.68</v>
          </cell>
        </row>
        <row r="12">
          <cell r="A12" t="str">
            <v>$500,000+</v>
          </cell>
          <cell r="B12">
            <v>8</v>
          </cell>
          <cell r="C12">
            <v>5219921.1500000004</v>
          </cell>
        </row>
      </sheetData>
      <sheetData sheetId="5">
        <row r="1">
          <cell r="A1" t="str">
            <v>MatQtrYear</v>
          </cell>
          <cell r="B1" t="str">
            <v>SumOfFinancedAmount</v>
          </cell>
          <cell r="C1" t="str">
            <v>SumOfCurrentBalance</v>
          </cell>
          <cell r="D1" t="str">
            <v>SumOfOSPrincipal</v>
          </cell>
        </row>
        <row r="2">
          <cell r="A2" t="str">
            <v>2011Q4</v>
          </cell>
          <cell r="B2">
            <v>708652.38</v>
          </cell>
          <cell r="C2">
            <v>0</v>
          </cell>
          <cell r="D2">
            <v>0</v>
          </cell>
        </row>
        <row r="3">
          <cell r="A3" t="str">
            <v>2012Q1</v>
          </cell>
          <cell r="B3">
            <v>11894401.067</v>
          </cell>
          <cell r="C3">
            <v>46456.01</v>
          </cell>
          <cell r="D3">
            <v>42637.51</v>
          </cell>
        </row>
        <row r="4">
          <cell r="A4" t="str">
            <v>2012Q2</v>
          </cell>
          <cell r="B4">
            <v>11180375.289999999</v>
          </cell>
          <cell r="C4">
            <v>2572235.16</v>
          </cell>
          <cell r="D4">
            <v>2453879.0299999998</v>
          </cell>
        </row>
        <row r="5">
          <cell r="A5" t="str">
            <v>2012Q3</v>
          </cell>
          <cell r="B5">
            <v>6103360.1100000003</v>
          </cell>
          <cell r="C5">
            <v>2292201.21</v>
          </cell>
          <cell r="D5">
            <v>2212816.73</v>
          </cell>
        </row>
        <row r="6">
          <cell r="A6" t="str">
            <v>2012Q4</v>
          </cell>
          <cell r="B6">
            <v>4977341.1950000003</v>
          </cell>
          <cell r="C6">
            <v>1238820.76</v>
          </cell>
          <cell r="D6">
            <v>1188827.42</v>
          </cell>
        </row>
        <row r="7">
          <cell r="A7" t="str">
            <v>2013Q1</v>
          </cell>
          <cell r="B7">
            <v>20530521.18</v>
          </cell>
          <cell r="C7">
            <v>5455397.1699999999</v>
          </cell>
          <cell r="D7">
            <v>5067800.71</v>
          </cell>
        </row>
        <row r="8">
          <cell r="A8" t="str">
            <v>2013Q2</v>
          </cell>
          <cell r="B8">
            <v>15478651.311000001</v>
          </cell>
          <cell r="C8">
            <v>6116720.3799999999</v>
          </cell>
          <cell r="D8">
            <v>5633227.8200000003</v>
          </cell>
        </row>
        <row r="9">
          <cell r="A9" t="str">
            <v>2013Q3</v>
          </cell>
          <cell r="B9">
            <v>7881359.7999999998</v>
          </cell>
          <cell r="C9">
            <v>3528977.41</v>
          </cell>
          <cell r="D9">
            <v>3256955.98</v>
          </cell>
        </row>
        <row r="10">
          <cell r="A10" t="str">
            <v>2013Q4</v>
          </cell>
          <cell r="B10">
            <v>6688197.3140000002</v>
          </cell>
          <cell r="C10">
            <v>3388611.89</v>
          </cell>
          <cell r="D10">
            <v>3130836.21</v>
          </cell>
        </row>
        <row r="11">
          <cell r="A11" t="str">
            <v>2014Q1</v>
          </cell>
          <cell r="B11">
            <v>24924669.829999998</v>
          </cell>
          <cell r="C11">
            <v>12631287.720000001</v>
          </cell>
          <cell r="D11">
            <v>11395045.43</v>
          </cell>
        </row>
        <row r="12">
          <cell r="A12" t="str">
            <v>2014Q2</v>
          </cell>
          <cell r="B12">
            <v>21093749.48</v>
          </cell>
          <cell r="C12">
            <v>12534393.699999999</v>
          </cell>
          <cell r="D12">
            <v>11262550.9</v>
          </cell>
        </row>
        <row r="13">
          <cell r="A13" t="str">
            <v>2014Q3</v>
          </cell>
          <cell r="B13">
            <v>12764381.57</v>
          </cell>
          <cell r="C13">
            <v>7949919.3600000003</v>
          </cell>
          <cell r="D13">
            <v>7036528.3499999996</v>
          </cell>
        </row>
        <row r="14">
          <cell r="A14" t="str">
            <v>2014Q4</v>
          </cell>
          <cell r="B14">
            <v>16375842.73</v>
          </cell>
          <cell r="C14">
            <v>10305047.91</v>
          </cell>
          <cell r="D14">
            <v>8995607.4499999993</v>
          </cell>
        </row>
        <row r="15">
          <cell r="A15" t="str">
            <v>2015Q1</v>
          </cell>
          <cell r="B15">
            <v>96579600.099999905</v>
          </cell>
          <cell r="C15">
            <v>64957096.689999998</v>
          </cell>
          <cell r="D15">
            <v>56177707.579999998</v>
          </cell>
        </row>
        <row r="16">
          <cell r="A16" t="str">
            <v>2015Q2</v>
          </cell>
          <cell r="B16">
            <v>55924508.93</v>
          </cell>
          <cell r="C16">
            <v>39650310.299999997</v>
          </cell>
          <cell r="D16">
            <v>33977225.93</v>
          </cell>
        </row>
        <row r="17">
          <cell r="A17" t="str">
            <v>2015Q3</v>
          </cell>
          <cell r="B17">
            <v>30620725.129999999</v>
          </cell>
          <cell r="C17">
            <v>23540550.960000001</v>
          </cell>
          <cell r="D17">
            <v>19719697.350000001</v>
          </cell>
        </row>
        <row r="18">
          <cell r="A18" t="str">
            <v>2015Q4</v>
          </cell>
          <cell r="B18">
            <v>35713776.659999996</v>
          </cell>
          <cell r="C18">
            <v>27508455.960000001</v>
          </cell>
          <cell r="D18">
            <v>23124992.370000001</v>
          </cell>
        </row>
        <row r="19">
          <cell r="A19" t="str">
            <v>2016Q1</v>
          </cell>
          <cell r="B19">
            <v>49093342.770000003</v>
          </cell>
          <cell r="C19">
            <v>42619807.359999999</v>
          </cell>
          <cell r="D19">
            <v>35339576.18</v>
          </cell>
        </row>
        <row r="20">
          <cell r="A20" t="str">
            <v>2016Q2</v>
          </cell>
          <cell r="B20">
            <v>29172441.629999999</v>
          </cell>
          <cell r="C20">
            <v>28142243.030000001</v>
          </cell>
          <cell r="D20">
            <v>23116303.489999998</v>
          </cell>
        </row>
        <row r="21">
          <cell r="A21" t="str">
            <v>2016Q3</v>
          </cell>
          <cell r="B21">
            <v>294586.81</v>
          </cell>
          <cell r="C21">
            <v>332178.14</v>
          </cell>
          <cell r="D21">
            <v>256227.47</v>
          </cell>
        </row>
      </sheetData>
      <sheetData sheetId="6">
        <row r="1">
          <cell r="A1" t="str">
            <v>MonthonBooks</v>
          </cell>
          <cell r="B1" t="str">
            <v>SumOfFinancedAmount</v>
          </cell>
          <cell r="C1" t="str">
            <v>SumOfCurrentBalance</v>
          </cell>
          <cell r="D1" t="str">
            <v>SumOfOSPrincipal</v>
          </cell>
        </row>
        <row r="2">
          <cell r="A2" t="str">
            <v>0 to 6 months</v>
          </cell>
          <cell r="B2">
            <v>1818318.91</v>
          </cell>
          <cell r="C2">
            <v>0</v>
          </cell>
          <cell r="D2">
            <v>0</v>
          </cell>
        </row>
        <row r="3">
          <cell r="A3" t="str">
            <v>07 to 12 months</v>
          </cell>
          <cell r="B3">
            <v>51939950.969999999</v>
          </cell>
          <cell r="C3">
            <v>37622880.329999998</v>
          </cell>
          <cell r="D3">
            <v>31813076.920000002</v>
          </cell>
        </row>
        <row r="4">
          <cell r="A4" t="str">
            <v>13 to 18 months</v>
          </cell>
          <cell r="B4">
            <v>119556025.73</v>
          </cell>
          <cell r="C4">
            <v>91380528.280000106</v>
          </cell>
          <cell r="D4">
            <v>77321911.980000004</v>
          </cell>
        </row>
        <row r="5">
          <cell r="A5" t="str">
            <v>19 to 24 months</v>
          </cell>
          <cell r="B5">
            <v>159028137.71000001</v>
          </cell>
          <cell r="C5">
            <v>106445195.37</v>
          </cell>
          <cell r="D5">
            <v>92291469.069999903</v>
          </cell>
        </row>
        <row r="6">
          <cell r="A6" t="str">
            <v>25 to 30 months</v>
          </cell>
          <cell r="B6">
            <v>57101459.899999999</v>
          </cell>
          <cell r="C6">
            <v>34668985.369999997</v>
          </cell>
          <cell r="D6">
            <v>29891237.039999999</v>
          </cell>
        </row>
        <row r="7">
          <cell r="A7" t="str">
            <v>31 to 36 months</v>
          </cell>
          <cell r="B7">
            <v>28343050.710000001</v>
          </cell>
          <cell r="C7">
            <v>15703852.689999999</v>
          </cell>
          <cell r="D7">
            <v>13839268.68</v>
          </cell>
        </row>
        <row r="8">
          <cell r="A8" t="str">
            <v>37 to 42 months</v>
          </cell>
          <cell r="B8">
            <v>6020802.2000000002</v>
          </cell>
          <cell r="C8">
            <v>1954979.3</v>
          </cell>
          <cell r="D8">
            <v>1775727.63</v>
          </cell>
        </row>
        <row r="9">
          <cell r="A9" t="str">
            <v>43 to 48 months</v>
          </cell>
          <cell r="B9">
            <v>6946136.0120000001</v>
          </cell>
          <cell r="C9">
            <v>1916390.37</v>
          </cell>
          <cell r="D9">
            <v>1724292.48</v>
          </cell>
        </row>
        <row r="10">
          <cell r="A10" t="str">
            <v>49 to 54 months</v>
          </cell>
          <cell r="B10">
            <v>9433080.7850000001</v>
          </cell>
          <cell r="C10">
            <v>2355601.7200000002</v>
          </cell>
          <cell r="D10">
            <v>2146345.4900000002</v>
          </cell>
        </row>
        <row r="11">
          <cell r="A11" t="str">
            <v>55 to 60 months</v>
          </cell>
          <cell r="B11">
            <v>17813522.359999999</v>
          </cell>
          <cell r="C11">
            <v>2762297.69</v>
          </cell>
          <cell r="D11">
            <v>2585114.62</v>
          </cell>
        </row>
      </sheetData>
      <sheetData sheetId="7">
        <row r="1">
          <cell r="A1" t="str">
            <v>ArrearsBuckets</v>
          </cell>
          <cell r="B1" t="str">
            <v>SumOfArrearsAmt</v>
          </cell>
          <cell r="C1" t="str">
            <v>Count</v>
          </cell>
          <cell r="D1" t="str">
            <v>SumOfOSPrincipal</v>
          </cell>
        </row>
        <row r="2">
          <cell r="A2" t="str">
            <v>0 - 30 Days</v>
          </cell>
          <cell r="B2">
            <v>458530.59</v>
          </cell>
          <cell r="C2">
            <v>3468</v>
          </cell>
          <cell r="D2">
            <v>249824968.44</v>
          </cell>
        </row>
        <row r="3">
          <cell r="A3" t="str">
            <v>121 - 150 Days</v>
          </cell>
          <cell r="B3">
            <v>42637.56</v>
          </cell>
          <cell r="C3">
            <v>2</v>
          </cell>
          <cell r="D3">
            <v>84661.97</v>
          </cell>
        </row>
        <row r="4">
          <cell r="A4" t="str">
            <v>31 - 60 Days</v>
          </cell>
          <cell r="B4">
            <v>424301.84</v>
          </cell>
          <cell r="C4">
            <v>23</v>
          </cell>
          <cell r="D4">
            <v>2087868.02</v>
          </cell>
        </row>
        <row r="5">
          <cell r="A5" t="str">
            <v>61 - 90 Days</v>
          </cell>
          <cell r="B5">
            <v>292179.98</v>
          </cell>
          <cell r="C5">
            <v>9</v>
          </cell>
          <cell r="D5">
            <v>1048759.28</v>
          </cell>
        </row>
        <row r="6">
          <cell r="A6" t="str">
            <v>91 - 120 Days</v>
          </cell>
          <cell r="B6">
            <v>79173.789999999994</v>
          </cell>
          <cell r="C6">
            <v>4</v>
          </cell>
          <cell r="D6">
            <v>342186.2</v>
          </cell>
        </row>
      </sheetData>
      <sheetData sheetId="8">
        <row r="2">
          <cell r="E2">
            <v>1250524.8600000001</v>
          </cell>
        </row>
        <row r="3">
          <cell r="E3">
            <v>930138.82</v>
          </cell>
        </row>
        <row r="4">
          <cell r="E4">
            <v>883460.47</v>
          </cell>
        </row>
        <row r="5">
          <cell r="E5">
            <v>787332.27</v>
          </cell>
        </row>
        <row r="6">
          <cell r="E6">
            <v>738855.02</v>
          </cell>
        </row>
      </sheetData>
      <sheetData sheetId="9">
        <row r="1">
          <cell r="A1" t="str">
            <v>LVRBand</v>
          </cell>
          <cell r="B1" t="str">
            <v>SumOfCount</v>
          </cell>
          <cell r="C1" t="str">
            <v>SumOfFinancedAmount</v>
          </cell>
          <cell r="D1" t="str">
            <v>SumOfOSPrincipal</v>
          </cell>
          <cell r="E1" t="str">
            <v>SumOfCurrentBalance</v>
          </cell>
        </row>
        <row r="2">
          <cell r="A2" t="str">
            <v>10% to 20%</v>
          </cell>
          <cell r="B2">
            <v>8</v>
          </cell>
          <cell r="C2">
            <v>373596.38</v>
          </cell>
          <cell r="D2">
            <v>199337.31</v>
          </cell>
          <cell r="E2">
            <v>221157.47</v>
          </cell>
        </row>
        <row r="3">
          <cell r="A3" t="str">
            <v>21% to 30%</v>
          </cell>
          <cell r="B3">
            <v>57</v>
          </cell>
          <cell r="C3">
            <v>4563569.41</v>
          </cell>
          <cell r="D3">
            <v>2673604.75</v>
          </cell>
          <cell r="E3">
            <v>2986332.42</v>
          </cell>
        </row>
        <row r="4">
          <cell r="A4" t="str">
            <v>31% to 40%</v>
          </cell>
          <cell r="B4">
            <v>149</v>
          </cell>
          <cell r="C4">
            <v>16301852.449999999</v>
          </cell>
          <cell r="D4">
            <v>10079855.960000001</v>
          </cell>
          <cell r="E4">
            <v>11495983.220000001</v>
          </cell>
        </row>
        <row r="5">
          <cell r="A5" t="str">
            <v>41% to 50%</v>
          </cell>
          <cell r="B5">
            <v>281</v>
          </cell>
          <cell r="C5">
            <v>30586727.449999999</v>
          </cell>
          <cell r="D5">
            <v>18568584.98</v>
          </cell>
          <cell r="E5">
            <v>21213414.469999999</v>
          </cell>
        </row>
        <row r="6">
          <cell r="A6" t="str">
            <v>51% to 60%</v>
          </cell>
          <cell r="B6">
            <v>332</v>
          </cell>
          <cell r="C6">
            <v>43252984.795000002</v>
          </cell>
          <cell r="D6">
            <v>26557612.100000001</v>
          </cell>
          <cell r="E6">
            <v>30648510.600000001</v>
          </cell>
        </row>
        <row r="7">
          <cell r="A7" t="str">
            <v>61% to 70%</v>
          </cell>
          <cell r="B7">
            <v>442</v>
          </cell>
          <cell r="C7">
            <v>50297636.691</v>
          </cell>
          <cell r="D7">
            <v>31658430.399999999</v>
          </cell>
          <cell r="E7">
            <v>36757841.929999903</v>
          </cell>
        </row>
        <row r="8">
          <cell r="A8" t="str">
            <v>71% to 80%</v>
          </cell>
          <cell r="B8">
            <v>541</v>
          </cell>
          <cell r="C8">
            <v>59235976.07</v>
          </cell>
          <cell r="D8">
            <v>36889928.100000001</v>
          </cell>
          <cell r="E8">
            <v>43231026.359999999</v>
          </cell>
        </row>
        <row r="9">
          <cell r="A9" t="str">
            <v>81% to 90%</v>
          </cell>
          <cell r="B9">
            <v>841</v>
          </cell>
          <cell r="C9">
            <v>108172662.53200001</v>
          </cell>
          <cell r="D9">
            <v>67898762.230000004</v>
          </cell>
          <cell r="E9">
            <v>79380349.679999903</v>
          </cell>
        </row>
        <row r="10">
          <cell r="A10" t="str">
            <v>91% to 100%</v>
          </cell>
          <cell r="B10">
            <v>855</v>
          </cell>
          <cell r="C10">
            <v>96749711.256999999</v>
          </cell>
          <cell r="D10">
            <v>58862328.079999901</v>
          </cell>
          <cell r="E10">
            <v>68883094.969999999</v>
          </cell>
        </row>
      </sheetData>
      <sheetData sheetId="10">
        <row r="1">
          <cell r="A1" t="str">
            <v>YieldBand</v>
          </cell>
          <cell r="B1" t="str">
            <v>SumOf(1) 2011-1 Base Table - All Loans_LoanNumber</v>
          </cell>
          <cell r="C1" t="str">
            <v>AvgOfYield</v>
          </cell>
          <cell r="D1" t="str">
            <v>SumOfOSPrincipal</v>
          </cell>
        </row>
        <row r="2">
          <cell r="A2" t="str">
            <v>&gt; 12%</v>
          </cell>
          <cell r="B2">
            <v>781012318</v>
          </cell>
          <cell r="C2">
            <v>0.13054887179487201</v>
          </cell>
          <cell r="D2">
            <v>6242039.0099999998</v>
          </cell>
        </row>
        <row r="3">
          <cell r="A3" t="str">
            <v>10% to 11%</v>
          </cell>
          <cell r="B3">
            <v>2422877875</v>
          </cell>
          <cell r="C3">
            <v>0.104064173553719</v>
          </cell>
          <cell r="D3">
            <v>9467233.4299999997</v>
          </cell>
        </row>
        <row r="4">
          <cell r="A4" t="str">
            <v>11% to 12%</v>
          </cell>
          <cell r="B4">
            <v>961142066</v>
          </cell>
          <cell r="C4">
            <v>0.114328010416667</v>
          </cell>
          <cell r="D4">
            <v>6530644.1100000003</v>
          </cell>
        </row>
        <row r="5">
          <cell r="A5" t="str">
            <v>4% to 5%</v>
          </cell>
          <cell r="B5">
            <v>2613110960</v>
          </cell>
          <cell r="C5">
            <v>4.6938007633587797E-2</v>
          </cell>
          <cell r="D5">
            <v>5894338.7599999998</v>
          </cell>
        </row>
        <row r="6">
          <cell r="A6" t="str">
            <v>5% to 6%</v>
          </cell>
          <cell r="B6">
            <v>5136753291</v>
          </cell>
          <cell r="C6">
            <v>5.6901723938223701E-2</v>
          </cell>
          <cell r="D6">
            <v>29080559.59</v>
          </cell>
        </row>
        <row r="7">
          <cell r="A7" t="str">
            <v>6% to 7%</v>
          </cell>
          <cell r="B7">
            <v>7235016263</v>
          </cell>
          <cell r="C7">
            <v>6.6449581336695804E-2</v>
          </cell>
          <cell r="D7">
            <v>67324604.239999995</v>
          </cell>
        </row>
        <row r="8">
          <cell r="A8" t="str">
            <v>7% to 8%</v>
          </cell>
          <cell r="B8">
            <v>7492739567</v>
          </cell>
          <cell r="C8">
            <v>7.5324082070707205E-2</v>
          </cell>
          <cell r="D8">
            <v>65673124.210000001</v>
          </cell>
        </row>
        <row r="9">
          <cell r="A9" t="str">
            <v>8% to 9%</v>
          </cell>
          <cell r="B9">
            <v>5688202272</v>
          </cell>
          <cell r="C9">
            <v>8.6904569468267606E-2</v>
          </cell>
          <cell r="D9">
            <v>40961360.020000003</v>
          </cell>
        </row>
        <row r="10">
          <cell r="A10" t="str">
            <v>9% to 10%</v>
          </cell>
          <cell r="B10">
            <v>5246187407</v>
          </cell>
          <cell r="C10">
            <v>9.5275458015266698E-2</v>
          </cell>
          <cell r="D10">
            <v>22214540.539999999</v>
          </cell>
        </row>
      </sheetData>
      <sheetData sheetId="11">
        <row r="1">
          <cell r="A1" t="str">
            <v>TypeDescription</v>
          </cell>
          <cell r="B1" t="str">
            <v>SumOfOSPrincipal</v>
          </cell>
        </row>
        <row r="2">
          <cell r="A2" t="str">
            <v>Finance Lease</v>
          </cell>
          <cell r="B2">
            <v>5465603.8700000001</v>
          </cell>
        </row>
        <row r="3">
          <cell r="A3" t="str">
            <v>Goods Mortgage</v>
          </cell>
          <cell r="B3">
            <v>242567982.28</v>
          </cell>
        </row>
        <row r="4">
          <cell r="A4" t="str">
            <v>Hire Purchase</v>
          </cell>
          <cell r="B4">
            <v>5354857.76</v>
          </cell>
        </row>
      </sheetData>
      <sheetData sheetId="12">
        <row r="1">
          <cell r="A1" t="str">
            <v>NewvUsed</v>
          </cell>
          <cell r="B1" t="str">
            <v>SumOfOSPrincipal</v>
          </cell>
        </row>
        <row r="2">
          <cell r="A2" t="str">
            <v>New</v>
          </cell>
          <cell r="B2">
            <v>200880997.49000001</v>
          </cell>
        </row>
        <row r="3">
          <cell r="A3" t="str">
            <v>Others</v>
          </cell>
          <cell r="B3">
            <v>6302.08</v>
          </cell>
        </row>
        <row r="4">
          <cell r="A4" t="str">
            <v>Used</v>
          </cell>
          <cell r="B4">
            <v>52501144.340000004</v>
          </cell>
        </row>
      </sheetData>
      <sheetData sheetId="13"/>
      <sheetData sheetId="14">
        <row r="1">
          <cell r="A1" t="str">
            <v>Source Type</v>
          </cell>
          <cell r="B1" t="str">
            <v>SumOfSumOfOSPrincipal</v>
          </cell>
        </row>
        <row r="2">
          <cell r="A2" t="str">
            <v>Hardship Refinance</v>
          </cell>
          <cell r="B2">
            <v>4794803.74</v>
          </cell>
        </row>
        <row r="3">
          <cell r="A3" t="str">
            <v>Non Hardship Refinance</v>
          </cell>
          <cell r="B3">
            <v>248593640.16999999</v>
          </cell>
        </row>
      </sheetData>
      <sheetData sheetId="15">
        <row r="1">
          <cell r="A1" t="str">
            <v>Band</v>
          </cell>
          <cell r="B1" t="str">
            <v>SumOfOSPrincipal</v>
          </cell>
        </row>
        <row r="2">
          <cell r="A2" t="str">
            <v>0-12 Months</v>
          </cell>
          <cell r="B2">
            <v>16412511.41</v>
          </cell>
        </row>
        <row r="3">
          <cell r="A3" t="str">
            <v>13-24 Months</v>
          </cell>
          <cell r="B3">
            <v>29463356.309999999</v>
          </cell>
        </row>
        <row r="4">
          <cell r="A4" t="str">
            <v>25-36 Months</v>
          </cell>
          <cell r="B4">
            <v>106692393.72</v>
          </cell>
        </row>
        <row r="5">
          <cell r="A5" t="str">
            <v>37-48 Months</v>
          </cell>
          <cell r="B5">
            <v>100563955</v>
          </cell>
        </row>
        <row r="6">
          <cell r="A6" t="str">
            <v>49-60 Months</v>
          </cell>
          <cell r="B6">
            <v>256227.47</v>
          </cell>
        </row>
      </sheetData>
      <sheetData sheetId="16">
        <row r="1">
          <cell r="A1" t="str">
            <v>Frequency</v>
          </cell>
          <cell r="B1" t="str">
            <v>SumOfOSPrincipal</v>
          </cell>
        </row>
        <row r="2">
          <cell r="A2" t="str">
            <v>6 Consecutive</v>
          </cell>
          <cell r="B2">
            <v>1531660.17</v>
          </cell>
        </row>
        <row r="3">
          <cell r="A3" t="str">
            <v>Annual</v>
          </cell>
          <cell r="B3">
            <v>164832236.02000001</v>
          </cell>
        </row>
        <row r="4">
          <cell r="A4" t="str">
            <v>Monthly</v>
          </cell>
          <cell r="B4">
            <v>56119175.159999996</v>
          </cell>
        </row>
        <row r="5">
          <cell r="A5" t="str">
            <v>Quarterly</v>
          </cell>
          <cell r="B5">
            <v>3964162.72</v>
          </cell>
        </row>
        <row r="6">
          <cell r="A6" t="str">
            <v>Semi Annual</v>
          </cell>
          <cell r="B6">
            <v>23681966.149999999</v>
          </cell>
        </row>
        <row r="7">
          <cell r="A7" t="str">
            <v>Structured</v>
          </cell>
          <cell r="B7">
            <v>3259243.69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00__GEOGRAPHIC_DISTRIBUTION"/>
      <sheetName val="(901__COLLATERAL_TYPE"/>
      <sheetName val="(902__TOP_INDUSTRY_DISTRIBUTION"/>
      <sheetName val="(904__RESIDUAL_BALLOON_PAYMENT"/>
      <sheetName val="(905__CLIENT_BALANCE_DISTRIBUTI"/>
      <sheetName val="(906__MATURITY_QUARTER_AND_YEAR"/>
      <sheetName val="(907__SEASONING_DISTRIBUTION"/>
      <sheetName val="(908__ARREARS_REPORTING"/>
      <sheetName val="(909__OBLIGOR_EXPOSURE"/>
      <sheetName val="(910__LVR_DISTRIBUTION"/>
      <sheetName val="(911__CONTRACT_YIELD"/>
      <sheetName val="(913__Product_Type"/>
      <sheetName val="(914__New_v_Used"/>
      <sheetName val="(915__Consolidated_Client_Balan"/>
      <sheetName val="(918__Payment_Frequency"/>
      <sheetName val="(916__Contract_by_Source"/>
      <sheetName val="(917__Remaining_Term"/>
    </sheetNames>
    <sheetDataSet>
      <sheetData sheetId="0" refreshError="1">
        <row r="2">
          <cell r="A2" t="str">
            <v>ACT</v>
          </cell>
          <cell r="B2">
            <v>7</v>
          </cell>
          <cell r="C2">
            <v>372596.22</v>
          </cell>
        </row>
        <row r="3">
          <cell r="A3" t="str">
            <v>NSW</v>
          </cell>
          <cell r="B3">
            <v>1196</v>
          </cell>
          <cell r="C3">
            <v>95713621.989999995</v>
          </cell>
        </row>
        <row r="4">
          <cell r="A4" t="str">
            <v>NT</v>
          </cell>
          <cell r="B4">
            <v>1</v>
          </cell>
          <cell r="C4">
            <v>137287.5</v>
          </cell>
        </row>
        <row r="5">
          <cell r="A5" t="str">
            <v>QLD</v>
          </cell>
          <cell r="B5">
            <v>563</v>
          </cell>
          <cell r="C5">
            <v>34806985.689999998</v>
          </cell>
        </row>
        <row r="6">
          <cell r="A6" t="str">
            <v>SA</v>
          </cell>
          <cell r="B6">
            <v>575</v>
          </cell>
          <cell r="C6">
            <v>46439858.82</v>
          </cell>
        </row>
        <row r="7">
          <cell r="A7" t="str">
            <v>TAS</v>
          </cell>
          <cell r="B7">
            <v>65</v>
          </cell>
          <cell r="C7">
            <v>2929338.96</v>
          </cell>
        </row>
        <row r="8">
          <cell r="A8" t="str">
            <v>VIC</v>
          </cell>
          <cell r="B8">
            <v>823</v>
          </cell>
          <cell r="C8">
            <v>68707543.579999894</v>
          </cell>
        </row>
        <row r="9">
          <cell r="A9" t="str">
            <v>WA</v>
          </cell>
          <cell r="B9">
            <v>442</v>
          </cell>
          <cell r="C9">
            <v>40373934.159999996</v>
          </cell>
        </row>
      </sheetData>
      <sheetData sheetId="1" refreshError="1">
        <row r="2">
          <cell r="A2" t="str">
            <v>4 EWD TRACTORS</v>
          </cell>
          <cell r="B2">
            <v>389</v>
          </cell>
          <cell r="C2">
            <v>42170437.409999996</v>
          </cell>
        </row>
        <row r="3">
          <cell r="A3" t="str">
            <v>40&lt;100 HP TRACTOR</v>
          </cell>
          <cell r="B3">
            <v>632</v>
          </cell>
          <cell r="C3">
            <v>19064951.41</v>
          </cell>
        </row>
        <row r="4">
          <cell r="A4" t="str">
            <v>4WD Vehicle</v>
          </cell>
          <cell r="B4">
            <v>1</v>
          </cell>
          <cell r="C4">
            <v>49000.29</v>
          </cell>
        </row>
        <row r="5">
          <cell r="A5" t="str">
            <v>BACKHOES</v>
          </cell>
          <cell r="B5">
            <v>9</v>
          </cell>
          <cell r="C5">
            <v>609745.18000000005</v>
          </cell>
        </row>
        <row r="6">
          <cell r="A6" t="str">
            <v>BALERS, WINDROWERS, MOWERS, RAKES</v>
          </cell>
          <cell r="B6">
            <v>350</v>
          </cell>
          <cell r="C6">
            <v>12768982.449999999</v>
          </cell>
        </row>
        <row r="7">
          <cell r="A7" t="str">
            <v>COMBINES</v>
          </cell>
          <cell r="B7">
            <v>449</v>
          </cell>
          <cell r="C7">
            <v>80171310.040000007</v>
          </cell>
        </row>
        <row r="8">
          <cell r="A8" t="str">
            <v>COMMERCIAL VEHICLE</v>
          </cell>
          <cell r="B8">
            <v>34</v>
          </cell>
          <cell r="C8">
            <v>867508.2</v>
          </cell>
        </row>
        <row r="9">
          <cell r="A9" t="str">
            <v>COTTON PICKERS</v>
          </cell>
          <cell r="B9">
            <v>5</v>
          </cell>
          <cell r="C9">
            <v>402876.73</v>
          </cell>
        </row>
        <row r="10">
          <cell r="A10" t="str">
            <v>CRAWLERS / DOZERS</v>
          </cell>
          <cell r="B10">
            <v>5</v>
          </cell>
          <cell r="C10">
            <v>1613212.86</v>
          </cell>
        </row>
        <row r="11">
          <cell r="A11" t="str">
            <v>CULTIVATORS,SEEDERS, HARROWS</v>
          </cell>
          <cell r="B11">
            <v>179</v>
          </cell>
          <cell r="C11">
            <v>12165138.52</v>
          </cell>
        </row>
        <row r="12">
          <cell r="A12" t="str">
            <v>DRILL</v>
          </cell>
          <cell r="B12">
            <v>10</v>
          </cell>
          <cell r="C12">
            <v>596146.55000000005</v>
          </cell>
        </row>
        <row r="13">
          <cell r="A13" t="str">
            <v>DUMP TRUCKS</v>
          </cell>
          <cell r="B13">
            <v>8</v>
          </cell>
          <cell r="C13">
            <v>1817930.18</v>
          </cell>
        </row>
        <row r="14">
          <cell r="A14" t="str">
            <v>EXCAVATORS / GRADERS</v>
          </cell>
          <cell r="B14">
            <v>74</v>
          </cell>
          <cell r="C14">
            <v>6778200.9199999999</v>
          </cell>
        </row>
        <row r="15">
          <cell r="A15" t="str">
            <v>FEEDERS, MIXERS, WAGONS, BINS, FEED STORAGE</v>
          </cell>
          <cell r="B15">
            <v>21</v>
          </cell>
          <cell r="C15">
            <v>759477.35</v>
          </cell>
        </row>
        <row r="16">
          <cell r="A16" t="str">
            <v>FRONT END LOADER</v>
          </cell>
          <cell r="B16">
            <v>12</v>
          </cell>
          <cell r="C16">
            <v>511051.45</v>
          </cell>
        </row>
        <row r="17">
          <cell r="A17" t="str">
            <v>FRONTS</v>
          </cell>
          <cell r="B17">
            <v>57</v>
          </cell>
          <cell r="C17">
            <v>2791908.69</v>
          </cell>
        </row>
        <row r="18">
          <cell r="A18" t="str">
            <v>GUIDANCE SYSTEMS</v>
          </cell>
          <cell r="B18">
            <v>72</v>
          </cell>
          <cell r="C18">
            <v>1561355.11</v>
          </cell>
        </row>
        <row r="19">
          <cell r="A19" t="str">
            <v>HARVESTERS - Other</v>
          </cell>
          <cell r="B19">
            <v>27</v>
          </cell>
          <cell r="C19">
            <v>2750005.3</v>
          </cell>
        </row>
        <row r="20">
          <cell r="A20" t="str">
            <v>IRRIGATION EQUIPMENT</v>
          </cell>
          <cell r="B20">
            <v>3</v>
          </cell>
          <cell r="C20">
            <v>68870.149999999994</v>
          </cell>
        </row>
        <row r="21">
          <cell r="A21" t="str">
            <v>MATERIALS HANDLING EQUIPMENT</v>
          </cell>
          <cell r="B21">
            <v>12</v>
          </cell>
          <cell r="C21">
            <v>1409869.97</v>
          </cell>
        </row>
        <row r="22">
          <cell r="A22" t="str">
            <v>OTHER AG</v>
          </cell>
          <cell r="B22">
            <v>47</v>
          </cell>
          <cell r="C22">
            <v>2005040.19</v>
          </cell>
        </row>
        <row r="23">
          <cell r="A23" t="str">
            <v>OTHER CE</v>
          </cell>
          <cell r="B23">
            <v>7</v>
          </cell>
          <cell r="C23">
            <v>541709.61</v>
          </cell>
        </row>
        <row r="24">
          <cell r="A24" t="str">
            <v>OVER 100 HP TRACTOR</v>
          </cell>
          <cell r="B24">
            <v>1029</v>
          </cell>
          <cell r="C24">
            <v>77972427.679999903</v>
          </cell>
        </row>
        <row r="25">
          <cell r="A25" t="str">
            <v>ROLLERS</v>
          </cell>
          <cell r="B25">
            <v>3</v>
          </cell>
          <cell r="C25">
            <v>145324.4</v>
          </cell>
        </row>
        <row r="26">
          <cell r="A26" t="str">
            <v>SCRAPERS</v>
          </cell>
          <cell r="B26">
            <v>5</v>
          </cell>
          <cell r="C26">
            <v>1004339.37</v>
          </cell>
        </row>
        <row r="27">
          <cell r="A27" t="str">
            <v>SKIDSTEER / UNILOADER</v>
          </cell>
          <cell r="B27">
            <v>39</v>
          </cell>
          <cell r="C27">
            <v>1319673.75</v>
          </cell>
        </row>
        <row r="28">
          <cell r="A28" t="str">
            <v>SPRAYING EQUIPMENT</v>
          </cell>
          <cell r="B28">
            <v>123</v>
          </cell>
          <cell r="C28">
            <v>15373259.310000001</v>
          </cell>
        </row>
        <row r="29">
          <cell r="A29" t="str">
            <v>UNDER 40 HP TRACTORS</v>
          </cell>
          <cell r="B29">
            <v>54</v>
          </cell>
          <cell r="C29">
            <v>925648.57</v>
          </cell>
        </row>
        <row r="30">
          <cell r="A30" t="str">
            <v>WHEEL LOADERS</v>
          </cell>
          <cell r="B30">
            <v>16</v>
          </cell>
          <cell r="C30">
            <v>1265765.28</v>
          </cell>
        </row>
      </sheetData>
      <sheetData sheetId="2" refreshError="1">
        <row r="2">
          <cell r="A2" t="str">
            <v>AGRICULTURAL MACHINERY</v>
          </cell>
          <cell r="B2">
            <v>3460</v>
          </cell>
          <cell r="C2">
            <v>272107887.19999999</v>
          </cell>
        </row>
        <row r="3">
          <cell r="A3" t="str">
            <v>CONSTRUCTION EQUIPMENT</v>
          </cell>
          <cell r="B3">
            <v>178</v>
          </cell>
          <cell r="C3">
            <v>16505771.52</v>
          </cell>
        </row>
        <row r="4">
          <cell r="A4" t="str">
            <v>MOTOR VEHICLE - AG</v>
          </cell>
          <cell r="B4">
            <v>34</v>
          </cell>
          <cell r="C4">
            <v>867508.2</v>
          </cell>
        </row>
      </sheetData>
      <sheetData sheetId="3" refreshError="1">
        <row r="2">
          <cell r="A2" t="str">
            <v>0</v>
          </cell>
          <cell r="B2">
            <v>3276</v>
          </cell>
          <cell r="C2">
            <v>242810869.15000001</v>
          </cell>
        </row>
        <row r="3">
          <cell r="A3" t="str">
            <v>0 to 5</v>
          </cell>
          <cell r="B3">
            <v>73</v>
          </cell>
          <cell r="C3">
            <v>10417028.01</v>
          </cell>
        </row>
        <row r="4">
          <cell r="A4" t="str">
            <v>06 to 10</v>
          </cell>
          <cell r="B4">
            <v>51</v>
          </cell>
          <cell r="C4">
            <v>6374918.1799999997</v>
          </cell>
        </row>
        <row r="5">
          <cell r="A5" t="str">
            <v>11 to 15</v>
          </cell>
          <cell r="B5">
            <v>44</v>
          </cell>
          <cell r="C5">
            <v>8938042.1199999992</v>
          </cell>
        </row>
        <row r="6">
          <cell r="A6" t="str">
            <v>16 to 20</v>
          </cell>
          <cell r="B6">
            <v>58</v>
          </cell>
          <cell r="C6">
            <v>4658570.09</v>
          </cell>
        </row>
        <row r="7">
          <cell r="A7" t="str">
            <v>21 to 25</v>
          </cell>
          <cell r="B7">
            <v>41</v>
          </cell>
          <cell r="C7">
            <v>3891458.76</v>
          </cell>
        </row>
        <row r="8">
          <cell r="A8" t="str">
            <v>26 to 30</v>
          </cell>
          <cell r="B8">
            <v>70</v>
          </cell>
          <cell r="C8">
            <v>6560904.9100000001</v>
          </cell>
        </row>
        <row r="9">
          <cell r="A9" t="str">
            <v>31 to 35</v>
          </cell>
          <cell r="B9">
            <v>17</v>
          </cell>
          <cell r="C9">
            <v>2214990.6800000002</v>
          </cell>
        </row>
        <row r="10">
          <cell r="A10" t="str">
            <v>36 to 40</v>
          </cell>
          <cell r="B10">
            <v>18</v>
          </cell>
          <cell r="C10">
            <v>1110292.3899999999</v>
          </cell>
        </row>
        <row r="11">
          <cell r="A11" t="str">
            <v>41+%</v>
          </cell>
          <cell r="B11">
            <v>24</v>
          </cell>
          <cell r="C11">
            <v>2504092.63</v>
          </cell>
        </row>
      </sheetData>
      <sheetData sheetId="4" refreshError="1">
        <row r="2">
          <cell r="A2" t="str">
            <v>$ 0 - $25,000</v>
          </cell>
          <cell r="B2">
            <v>945</v>
          </cell>
          <cell r="C2">
            <v>14623359.43</v>
          </cell>
        </row>
        <row r="3">
          <cell r="A3" t="str">
            <v>$ 25,001 to $50,000</v>
          </cell>
          <cell r="B3">
            <v>890</v>
          </cell>
          <cell r="C3">
            <v>32518661.93</v>
          </cell>
        </row>
        <row r="4">
          <cell r="A4" t="str">
            <v>$ 50,001 to $75,000</v>
          </cell>
          <cell r="B4">
            <v>561</v>
          </cell>
          <cell r="C4">
            <v>34442809.07</v>
          </cell>
        </row>
        <row r="5">
          <cell r="A5" t="str">
            <v>$ 75,001 to $100,000</v>
          </cell>
          <cell r="B5">
            <v>333</v>
          </cell>
          <cell r="C5">
            <v>28860103.629999999</v>
          </cell>
        </row>
        <row r="6">
          <cell r="A6" t="str">
            <v>$100,001 to $125,000</v>
          </cell>
          <cell r="B6">
            <v>230</v>
          </cell>
          <cell r="C6">
            <v>25522323.309999999</v>
          </cell>
        </row>
        <row r="7">
          <cell r="A7" t="str">
            <v>$125,001 to $150,000</v>
          </cell>
          <cell r="B7">
            <v>174</v>
          </cell>
          <cell r="C7">
            <v>23811422.989999998</v>
          </cell>
        </row>
        <row r="8">
          <cell r="A8" t="str">
            <v>$150,000 to $200,000</v>
          </cell>
          <cell r="B8">
            <v>224</v>
          </cell>
          <cell r="C8">
            <v>38545437.880000003</v>
          </cell>
        </row>
        <row r="9">
          <cell r="A9" t="str">
            <v>$200,001 to $300,000</v>
          </cell>
          <cell r="B9">
            <v>216</v>
          </cell>
          <cell r="C9">
            <v>51818974.960000001</v>
          </cell>
        </row>
        <row r="10">
          <cell r="A10" t="str">
            <v>$300,001 to $400,000</v>
          </cell>
          <cell r="B10">
            <v>75</v>
          </cell>
          <cell r="C10">
            <v>26213738.390000001</v>
          </cell>
        </row>
        <row r="11">
          <cell r="A11" t="str">
            <v>$400,001 to $500,000</v>
          </cell>
          <cell r="B11">
            <v>12</v>
          </cell>
          <cell r="C11">
            <v>5228050.6900000004</v>
          </cell>
        </row>
        <row r="12">
          <cell r="A12" t="str">
            <v>$500,000+</v>
          </cell>
          <cell r="B12">
            <v>12</v>
          </cell>
          <cell r="C12">
            <v>7896284.6399999997</v>
          </cell>
        </row>
      </sheetData>
      <sheetData sheetId="5" refreshError="1">
        <row r="2">
          <cell r="A2" t="str">
            <v>2011Q4</v>
          </cell>
          <cell r="B2">
            <v>708652.38</v>
          </cell>
          <cell r="C2">
            <v>0</v>
          </cell>
          <cell r="D2">
            <v>0</v>
          </cell>
        </row>
        <row r="3">
          <cell r="A3" t="str">
            <v>2012Q1</v>
          </cell>
          <cell r="B3">
            <v>12012938.267000001</v>
          </cell>
          <cell r="C3">
            <v>1566289.45</v>
          </cell>
          <cell r="D3">
            <v>1480250.86</v>
          </cell>
        </row>
        <row r="4">
          <cell r="A4" t="str">
            <v>2012Q2</v>
          </cell>
          <cell r="B4">
            <v>11180375.289999999</v>
          </cell>
          <cell r="C4">
            <v>4208279.1500000004</v>
          </cell>
          <cell r="D4">
            <v>3989328.21</v>
          </cell>
        </row>
        <row r="5">
          <cell r="A5" t="str">
            <v>2012Q3</v>
          </cell>
          <cell r="B5">
            <v>6103360.1100000003</v>
          </cell>
          <cell r="C5">
            <v>2788475.36</v>
          </cell>
          <cell r="D5">
            <v>2612148.34</v>
          </cell>
        </row>
        <row r="6">
          <cell r="A6" t="str">
            <v>2012Q4</v>
          </cell>
          <cell r="B6">
            <v>4977341.1950000003</v>
          </cell>
          <cell r="C6">
            <v>1594522.06</v>
          </cell>
          <cell r="D6">
            <v>1517475.58</v>
          </cell>
        </row>
        <row r="7">
          <cell r="A7" t="str">
            <v>2013Q1</v>
          </cell>
          <cell r="B7">
            <v>20530521.18</v>
          </cell>
          <cell r="C7">
            <v>7542376.5300000003</v>
          </cell>
          <cell r="D7">
            <v>6907508.2599999998</v>
          </cell>
        </row>
        <row r="8">
          <cell r="A8" t="str">
            <v>2013Q2</v>
          </cell>
          <cell r="B8">
            <v>15478651.311000001</v>
          </cell>
          <cell r="C8">
            <v>8111266.3399999999</v>
          </cell>
          <cell r="D8">
            <v>7376089.6600000001</v>
          </cell>
        </row>
        <row r="9">
          <cell r="A9" t="str">
            <v>2013Q3</v>
          </cell>
          <cell r="B9">
            <v>7881359.7999999998</v>
          </cell>
          <cell r="C9">
            <v>4196851.13</v>
          </cell>
          <cell r="D9">
            <v>3848941.36</v>
          </cell>
        </row>
        <row r="10">
          <cell r="A10" t="str">
            <v>2013Q4</v>
          </cell>
          <cell r="B10">
            <v>6688197.3140000002</v>
          </cell>
          <cell r="C10">
            <v>3945683.36</v>
          </cell>
          <cell r="D10">
            <v>3602672.55</v>
          </cell>
        </row>
        <row r="11">
          <cell r="A11" t="str">
            <v>2014Q1</v>
          </cell>
          <cell r="B11">
            <v>24924669.829999998</v>
          </cell>
          <cell r="C11">
            <v>15052977.33</v>
          </cell>
          <cell r="D11">
            <v>13384424.279999999</v>
          </cell>
        </row>
        <row r="12">
          <cell r="A12" t="str">
            <v>2014Q2</v>
          </cell>
          <cell r="B12">
            <v>21215005.890000001</v>
          </cell>
          <cell r="C12">
            <v>14921096.4</v>
          </cell>
          <cell r="D12">
            <v>13213212.220000001</v>
          </cell>
        </row>
        <row r="13">
          <cell r="A13" t="str">
            <v>2014Q3</v>
          </cell>
          <cell r="B13">
            <v>12764381.57</v>
          </cell>
          <cell r="C13">
            <v>8730568.0899999999</v>
          </cell>
          <cell r="D13">
            <v>7676793.1799999997</v>
          </cell>
        </row>
        <row r="14">
          <cell r="A14" t="str">
            <v>2014Q4</v>
          </cell>
          <cell r="B14">
            <v>16375842.73</v>
          </cell>
          <cell r="C14">
            <v>11062664.789999999</v>
          </cell>
          <cell r="D14">
            <v>9573830.6799999997</v>
          </cell>
        </row>
        <row r="15">
          <cell r="A15" t="str">
            <v>2015Q1</v>
          </cell>
          <cell r="B15">
            <v>96579600.099999905</v>
          </cell>
          <cell r="C15">
            <v>74270277.609999999</v>
          </cell>
          <cell r="D15">
            <v>63246535.609999999</v>
          </cell>
        </row>
        <row r="16">
          <cell r="A16" t="str">
            <v>2015Q2</v>
          </cell>
          <cell r="B16">
            <v>55924508.93</v>
          </cell>
          <cell r="C16">
            <v>46306030.729999997</v>
          </cell>
          <cell r="D16">
            <v>39043924.509999998</v>
          </cell>
        </row>
        <row r="17">
          <cell r="A17" t="str">
            <v>2015Q3</v>
          </cell>
          <cell r="B17">
            <v>30727748.449999999</v>
          </cell>
          <cell r="C17">
            <v>25594463</v>
          </cell>
          <cell r="D17">
            <v>21203058.82</v>
          </cell>
        </row>
        <row r="18">
          <cell r="A18" t="str">
            <v>2015Q4</v>
          </cell>
          <cell r="B18">
            <v>35713776.659999996</v>
          </cell>
          <cell r="C18">
            <v>30692781.690000001</v>
          </cell>
          <cell r="D18">
            <v>25458726.379999999</v>
          </cell>
        </row>
        <row r="19">
          <cell r="A19" t="str">
            <v>2016Q1</v>
          </cell>
          <cell r="B19">
            <v>49165742.770000003</v>
          </cell>
          <cell r="C19">
            <v>48024695.460000001</v>
          </cell>
          <cell r="D19">
            <v>39431100.880000003</v>
          </cell>
        </row>
        <row r="20">
          <cell r="A20" t="str">
            <v>2016Q2</v>
          </cell>
          <cell r="B20">
            <v>29172441.629999999</v>
          </cell>
          <cell r="C20">
            <v>31638648.25</v>
          </cell>
          <cell r="D20">
            <v>25658918.07</v>
          </cell>
        </row>
        <row r="21">
          <cell r="A21" t="str">
            <v>2016Q3</v>
          </cell>
          <cell r="B21">
            <v>294586.81</v>
          </cell>
          <cell r="C21">
            <v>332178.14</v>
          </cell>
          <cell r="D21">
            <v>256227.47</v>
          </cell>
        </row>
      </sheetData>
      <sheetData sheetId="6" refreshError="1">
        <row r="2">
          <cell r="A2" t="str">
            <v>0 to 6 months</v>
          </cell>
          <cell r="B2">
            <v>1818318.91</v>
          </cell>
          <cell r="C2">
            <v>0</v>
          </cell>
          <cell r="D2">
            <v>0</v>
          </cell>
        </row>
        <row r="3">
          <cell r="A3" t="str">
            <v>07 to 12 months</v>
          </cell>
          <cell r="B3">
            <v>109639647.56</v>
          </cell>
          <cell r="C3">
            <v>102222326.70999999</v>
          </cell>
          <cell r="D3">
            <v>85209726.189999893</v>
          </cell>
        </row>
        <row r="4">
          <cell r="A4" t="str">
            <v>13 to 18 months</v>
          </cell>
          <cell r="B4">
            <v>157495133.15000001</v>
          </cell>
          <cell r="C4">
            <v>121886151.06</v>
          </cell>
          <cell r="D4">
            <v>103595396.92</v>
          </cell>
        </row>
        <row r="5">
          <cell r="A5" t="str">
            <v>19 to 24 months</v>
          </cell>
          <cell r="B5">
            <v>108469070.12</v>
          </cell>
          <cell r="C5">
            <v>79748867.890000001</v>
          </cell>
          <cell r="D5">
            <v>68405167.960000098</v>
          </cell>
        </row>
        <row r="6">
          <cell r="A6" t="str">
            <v>25 to 30 months</v>
          </cell>
          <cell r="B6">
            <v>29707602.100000001</v>
          </cell>
          <cell r="C6">
            <v>19336259.27</v>
          </cell>
          <cell r="D6">
            <v>16544589.57</v>
          </cell>
        </row>
        <row r="7">
          <cell r="A7" t="str">
            <v>31 to 36 months</v>
          </cell>
          <cell r="B7">
            <v>12593332.58</v>
          </cell>
          <cell r="C7">
            <v>6535434.3700000001</v>
          </cell>
          <cell r="D7">
            <v>5894035.2800000003</v>
          </cell>
        </row>
        <row r="8">
          <cell r="A8" t="str">
            <v>37 to 42 months</v>
          </cell>
          <cell r="B8">
            <v>6801345.4400000004</v>
          </cell>
          <cell r="C8">
            <v>2627284.98</v>
          </cell>
          <cell r="D8">
            <v>2315829.5</v>
          </cell>
        </row>
        <row r="9">
          <cell r="A9" t="str">
            <v>43 to 48 months</v>
          </cell>
          <cell r="B9">
            <v>6183488.8509999998</v>
          </cell>
          <cell r="C9">
            <v>1708407.55</v>
          </cell>
          <cell r="D9">
            <v>1529682.51</v>
          </cell>
        </row>
        <row r="10">
          <cell r="A10" t="str">
            <v>49 to 54 months</v>
          </cell>
          <cell r="B10">
            <v>11908763.085999999</v>
          </cell>
          <cell r="C10">
            <v>3664266.22</v>
          </cell>
          <cell r="D10">
            <v>3336926.84</v>
          </cell>
        </row>
        <row r="11">
          <cell r="A11" t="str">
            <v>55 to 60 months</v>
          </cell>
          <cell r="B11">
            <v>13803000.42</v>
          </cell>
          <cell r="C11">
            <v>2851126.82</v>
          </cell>
          <cell r="D11">
            <v>2649812.15</v>
          </cell>
        </row>
      </sheetData>
      <sheetData sheetId="7" refreshError="1">
        <row r="2">
          <cell r="A2" t="str">
            <v>0 - 30 Days</v>
          </cell>
          <cell r="B2">
            <v>809093.4</v>
          </cell>
          <cell r="C2">
            <v>3662</v>
          </cell>
          <cell r="D2">
            <v>288833437.5</v>
          </cell>
        </row>
        <row r="3">
          <cell r="A3" t="str">
            <v>31 - 60 Days</v>
          </cell>
          <cell r="B3">
            <v>114344.08</v>
          </cell>
          <cell r="C3">
            <v>7</v>
          </cell>
          <cell r="D3">
            <v>396831.59</v>
          </cell>
        </row>
        <row r="4">
          <cell r="A4" t="str">
            <v>61 - 90 Days</v>
          </cell>
          <cell r="B4">
            <v>11684.24</v>
          </cell>
          <cell r="C4">
            <v>1</v>
          </cell>
          <cell r="D4">
            <v>75733.52</v>
          </cell>
        </row>
        <row r="5">
          <cell r="A5" t="str">
            <v>91 - 120 Days</v>
          </cell>
          <cell r="B5">
            <v>6282.6400000000403</v>
          </cell>
          <cell r="C5">
            <v>1</v>
          </cell>
          <cell r="D5">
            <v>69034.78</v>
          </cell>
        </row>
        <row r="6">
          <cell r="A6" t="str">
            <v>151 - 180 Days</v>
          </cell>
          <cell r="B6">
            <v>26578.98</v>
          </cell>
          <cell r="C6">
            <v>1</v>
          </cell>
          <cell r="D6">
            <v>106129.53</v>
          </cell>
        </row>
      </sheetData>
      <sheetData sheetId="8" refreshError="1">
        <row r="2">
          <cell r="E2">
            <v>1604126.55</v>
          </cell>
        </row>
        <row r="3">
          <cell r="E3">
            <v>1377622.63</v>
          </cell>
        </row>
        <row r="4">
          <cell r="E4">
            <v>1133824.56</v>
          </cell>
        </row>
        <row r="5">
          <cell r="E5">
            <v>920689.83</v>
          </cell>
        </row>
        <row r="6">
          <cell r="E6">
            <v>840999.66</v>
          </cell>
        </row>
      </sheetData>
      <sheetData sheetId="9" refreshError="1">
        <row r="2">
          <cell r="A2" t="str">
            <v>10% to 20%</v>
          </cell>
          <cell r="B2">
            <v>9</v>
          </cell>
          <cell r="C2">
            <v>384096.38</v>
          </cell>
          <cell r="D2">
            <v>231205.82</v>
          </cell>
        </row>
        <row r="3">
          <cell r="A3" t="str">
            <v>21% to 30%</v>
          </cell>
          <cell r="B3">
            <v>58</v>
          </cell>
          <cell r="C3">
            <v>4703236.63</v>
          </cell>
          <cell r="D3">
            <v>3116693.85</v>
          </cell>
        </row>
        <row r="4">
          <cell r="A4" t="str">
            <v>31% to 40%</v>
          </cell>
          <cell r="B4">
            <v>156</v>
          </cell>
          <cell r="C4">
            <v>16885129.949999999</v>
          </cell>
          <cell r="D4">
            <v>11604419.59</v>
          </cell>
        </row>
        <row r="5">
          <cell r="A5" t="str">
            <v>41% to 50%</v>
          </cell>
          <cell r="B5">
            <v>288</v>
          </cell>
          <cell r="C5">
            <v>31468482.559999999</v>
          </cell>
          <cell r="D5">
            <v>21021664.539999999</v>
          </cell>
        </row>
        <row r="6">
          <cell r="A6" t="str">
            <v>51% to 60%</v>
          </cell>
          <cell r="B6">
            <v>340</v>
          </cell>
          <cell r="C6">
            <v>44113112.325000003</v>
          </cell>
          <cell r="D6">
            <v>29822904.710000001</v>
          </cell>
        </row>
        <row r="7">
          <cell r="A7" t="str">
            <v>61% to 70%</v>
          </cell>
          <cell r="B7">
            <v>457</v>
          </cell>
          <cell r="C7">
            <v>51626304.401000001</v>
          </cell>
          <cell r="D7">
            <v>35605896.549999997</v>
          </cell>
        </row>
        <row r="8">
          <cell r="A8" t="str">
            <v>71% to 80%</v>
          </cell>
          <cell r="B8">
            <v>565</v>
          </cell>
          <cell r="C8">
            <v>62290757.600000001</v>
          </cell>
          <cell r="D8">
            <v>42081502.549999997</v>
          </cell>
        </row>
        <row r="9">
          <cell r="A9" t="str">
            <v>81% to 90%</v>
          </cell>
          <cell r="B9">
            <v>882</v>
          </cell>
          <cell r="C9">
            <v>112293196.09199999</v>
          </cell>
          <cell r="D9">
            <v>77361774.670000106</v>
          </cell>
        </row>
        <row r="10">
          <cell r="A10" t="str">
            <v>91% to 100%</v>
          </cell>
          <cell r="B10">
            <v>917</v>
          </cell>
          <cell r="C10">
            <v>103306433.557</v>
          </cell>
          <cell r="D10">
            <v>68635104.640000001</v>
          </cell>
        </row>
      </sheetData>
      <sheetData sheetId="10" refreshError="1">
        <row r="2">
          <cell r="A2" t="str">
            <v>&gt; 12%</v>
          </cell>
          <cell r="B2">
            <v>781012318</v>
          </cell>
          <cell r="C2">
            <v>0.13054887179487201</v>
          </cell>
          <cell r="D2">
            <v>6741716.8300000001</v>
          </cell>
        </row>
        <row r="3">
          <cell r="A3" t="str">
            <v>10% to 11%</v>
          </cell>
          <cell r="B3">
            <v>2422877875</v>
          </cell>
          <cell r="C3">
            <v>0.104064173553719</v>
          </cell>
          <cell r="D3">
            <v>10907957.050000001</v>
          </cell>
        </row>
        <row r="4">
          <cell r="A4" t="str">
            <v>11% to 12%</v>
          </cell>
          <cell r="B4">
            <v>961142066</v>
          </cell>
          <cell r="C4">
            <v>0.114328010416667</v>
          </cell>
          <cell r="D4">
            <v>7192757.4900000002</v>
          </cell>
        </row>
        <row r="5">
          <cell r="A5" t="str">
            <v>4% to 5%</v>
          </cell>
          <cell r="B5">
            <v>2613110960</v>
          </cell>
          <cell r="C5">
            <v>4.6938007633587797E-2</v>
          </cell>
          <cell r="D5">
            <v>7034859.4500000002</v>
          </cell>
        </row>
        <row r="6">
          <cell r="A6" t="str">
            <v>5% to 6%</v>
          </cell>
          <cell r="B6">
            <v>5146759761</v>
          </cell>
          <cell r="C6">
            <v>5.6901913294797497E-2</v>
          </cell>
          <cell r="D6">
            <v>33304173.52</v>
          </cell>
        </row>
        <row r="7">
          <cell r="A7" t="str">
            <v>6% to 7%</v>
          </cell>
          <cell r="B7">
            <v>7235016263</v>
          </cell>
          <cell r="C7">
            <v>6.6449581336695804E-2</v>
          </cell>
          <cell r="D7">
            <v>76628007.930000007</v>
          </cell>
        </row>
        <row r="8">
          <cell r="A8" t="str">
            <v>7% to 8%</v>
          </cell>
          <cell r="B8">
            <v>7492818154</v>
          </cell>
          <cell r="C8">
            <v>7.5319184110971105E-2</v>
          </cell>
          <cell r="D8">
            <v>73293220.340000004</v>
          </cell>
        </row>
        <row r="9">
          <cell r="A9" t="str">
            <v>8% to 9%</v>
          </cell>
          <cell r="B9">
            <v>5698214951</v>
          </cell>
          <cell r="C9">
            <v>8.6905589041095896E-2</v>
          </cell>
          <cell r="D9">
            <v>47724622.18</v>
          </cell>
        </row>
        <row r="10">
          <cell r="A10" t="str">
            <v>9% to 10%</v>
          </cell>
          <cell r="B10">
            <v>5256201735</v>
          </cell>
          <cell r="C10">
            <v>9.5273980952380405E-2</v>
          </cell>
          <cell r="D10">
            <v>26653852.129999999</v>
          </cell>
        </row>
      </sheetData>
      <sheetData sheetId="11" refreshError="1">
        <row r="2">
          <cell r="A2" t="str">
            <v>Finance Lease</v>
          </cell>
          <cell r="B2">
            <v>6382930.0099999998</v>
          </cell>
        </row>
        <row r="3">
          <cell r="A3" t="str">
            <v>Goods Mortgage</v>
          </cell>
          <cell r="B3">
            <v>276908854.27999997</v>
          </cell>
        </row>
        <row r="4">
          <cell r="A4" t="str">
            <v>Hire Purchase</v>
          </cell>
          <cell r="B4">
            <v>6189382.6299999999</v>
          </cell>
        </row>
      </sheetData>
      <sheetData sheetId="12" refreshError="1">
        <row r="2">
          <cell r="A2" t="str">
            <v>New</v>
          </cell>
          <cell r="B2">
            <v>226991814.28</v>
          </cell>
        </row>
        <row r="3">
          <cell r="A3" t="str">
            <v>Others</v>
          </cell>
          <cell r="B3">
            <v>7086.3</v>
          </cell>
        </row>
        <row r="4">
          <cell r="A4" t="str">
            <v>Used</v>
          </cell>
          <cell r="B4">
            <v>62482266.340000004</v>
          </cell>
        </row>
      </sheetData>
      <sheetData sheetId="13" refreshError="1"/>
      <sheetData sheetId="14" refreshError="1">
        <row r="2">
          <cell r="A2" t="str">
            <v>6 Consecutive</v>
          </cell>
          <cell r="B2">
            <v>1536643.81</v>
          </cell>
        </row>
        <row r="3">
          <cell r="A3" t="str">
            <v>Annual</v>
          </cell>
          <cell r="B3">
            <v>189450448.36000001</v>
          </cell>
        </row>
        <row r="4">
          <cell r="A4" t="str">
            <v>Monthly</v>
          </cell>
          <cell r="B4">
            <v>62089141.219999902</v>
          </cell>
        </row>
        <row r="5">
          <cell r="A5" t="str">
            <v>Quarterly</v>
          </cell>
          <cell r="B5">
            <v>4379629.68</v>
          </cell>
        </row>
        <row r="6">
          <cell r="A6" t="str">
            <v>Semi Annual</v>
          </cell>
          <cell r="B6">
            <v>28462011.739999998</v>
          </cell>
        </row>
        <row r="7">
          <cell r="A7" t="str">
            <v>Structured</v>
          </cell>
          <cell r="B7">
            <v>3563292.11</v>
          </cell>
        </row>
      </sheetData>
      <sheetData sheetId="15" refreshError="1">
        <row r="2">
          <cell r="A2" t="str">
            <v>Hardship Refinance</v>
          </cell>
          <cell r="B2">
            <v>7024655.3600000003</v>
          </cell>
        </row>
        <row r="3">
          <cell r="A3" t="str">
            <v>Non Hardship Refinance</v>
          </cell>
          <cell r="B3">
            <v>282456511.56</v>
          </cell>
        </row>
      </sheetData>
      <sheetData sheetId="16" refreshError="1">
        <row r="2">
          <cell r="A2" t="str">
            <v>0-12 Months</v>
          </cell>
          <cell r="B2">
            <v>15926953.960000001</v>
          </cell>
        </row>
        <row r="3">
          <cell r="A3" t="str">
            <v>13-24 Months</v>
          </cell>
          <cell r="B3">
            <v>27853729.530000001</v>
          </cell>
        </row>
        <row r="4">
          <cell r="A4" t="str">
            <v>25-36 Months</v>
          </cell>
          <cell r="B4">
            <v>92556477.709999993</v>
          </cell>
        </row>
        <row r="5">
          <cell r="A5" t="str">
            <v>37-48 Months</v>
          </cell>
          <cell r="B5">
            <v>125865034.19</v>
          </cell>
        </row>
        <row r="6">
          <cell r="A6" t="str">
            <v>49-60 Months</v>
          </cell>
          <cell r="B6">
            <v>27278971.530000001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idual"/>
      <sheetName val="Base Table"/>
      <sheetName val="Sheet2"/>
      <sheetName val="Sheet3"/>
    </sheetNames>
    <sheetDataSet>
      <sheetData sheetId="0">
        <row r="4">
          <cell r="A4" t="str">
            <v>0</v>
          </cell>
          <cell r="B4">
            <v>183309449.69999981</v>
          </cell>
        </row>
        <row r="5">
          <cell r="A5" t="str">
            <v>0 to 5</v>
          </cell>
          <cell r="B5">
            <v>143054.32</v>
          </cell>
        </row>
        <row r="6">
          <cell r="A6" t="str">
            <v>11 to 15</v>
          </cell>
          <cell r="B6">
            <v>1128207.06</v>
          </cell>
        </row>
        <row r="7">
          <cell r="A7" t="str">
            <v>16 to 20</v>
          </cell>
          <cell r="B7">
            <v>4093216.37</v>
          </cell>
        </row>
        <row r="8">
          <cell r="A8" t="str">
            <v>21 to 25</v>
          </cell>
          <cell r="B8">
            <v>5399076.5600000015</v>
          </cell>
        </row>
        <row r="9">
          <cell r="A9" t="str">
            <v>26 to 30</v>
          </cell>
          <cell r="B9">
            <v>10625702.460000001</v>
          </cell>
        </row>
        <row r="10">
          <cell r="A10" t="str">
            <v>31 to 35</v>
          </cell>
          <cell r="B10">
            <v>4200902.1999999993</v>
          </cell>
        </row>
        <row r="11">
          <cell r="A11" t="str">
            <v>36 to 40</v>
          </cell>
          <cell r="B11">
            <v>2744148.2400000007</v>
          </cell>
        </row>
        <row r="12">
          <cell r="A12" t="str">
            <v>41+ %</v>
          </cell>
          <cell r="B12">
            <v>1244270.5900000001</v>
          </cell>
        </row>
        <row r="13">
          <cell r="A13" t="str">
            <v>6 to 10</v>
          </cell>
          <cell r="B13">
            <v>628508.74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D13" sqref="D13"/>
    </sheetView>
  </sheetViews>
  <sheetFormatPr defaultRowHeight="12"/>
  <cols>
    <col min="1" max="1" width="9.140625" style="145"/>
    <col min="2" max="4" width="13.7109375" style="144" customWidth="1"/>
    <col min="5" max="6" width="9.140625" style="145"/>
    <col min="7" max="7" width="11.140625" style="145" bestFit="1" customWidth="1"/>
    <col min="8" max="257" width="9.140625" style="145"/>
    <col min="258" max="260" width="13.7109375" style="145" customWidth="1"/>
    <col min="261" max="262" width="9.140625" style="145"/>
    <col min="263" max="263" width="11.140625" style="145" bestFit="1" customWidth="1"/>
    <col min="264" max="513" width="9.140625" style="145"/>
    <col min="514" max="516" width="13.7109375" style="145" customWidth="1"/>
    <col min="517" max="518" width="9.140625" style="145"/>
    <col min="519" max="519" width="11.140625" style="145" bestFit="1" customWidth="1"/>
    <col min="520" max="769" width="9.140625" style="145"/>
    <col min="770" max="772" width="13.7109375" style="145" customWidth="1"/>
    <col min="773" max="774" width="9.140625" style="145"/>
    <col min="775" max="775" width="11.140625" style="145" bestFit="1" customWidth="1"/>
    <col min="776" max="1025" width="9.140625" style="145"/>
    <col min="1026" max="1028" width="13.7109375" style="145" customWidth="1"/>
    <col min="1029" max="1030" width="9.140625" style="145"/>
    <col min="1031" max="1031" width="11.140625" style="145" bestFit="1" customWidth="1"/>
    <col min="1032" max="1281" width="9.140625" style="145"/>
    <col min="1282" max="1284" width="13.7109375" style="145" customWidth="1"/>
    <col min="1285" max="1286" width="9.140625" style="145"/>
    <col min="1287" max="1287" width="11.140625" style="145" bestFit="1" customWidth="1"/>
    <col min="1288" max="1537" width="9.140625" style="145"/>
    <col min="1538" max="1540" width="13.7109375" style="145" customWidth="1"/>
    <col min="1541" max="1542" width="9.140625" style="145"/>
    <col min="1543" max="1543" width="11.140625" style="145" bestFit="1" customWidth="1"/>
    <col min="1544" max="1793" width="9.140625" style="145"/>
    <col min="1794" max="1796" width="13.7109375" style="145" customWidth="1"/>
    <col min="1797" max="1798" width="9.140625" style="145"/>
    <col min="1799" max="1799" width="11.140625" style="145" bestFit="1" customWidth="1"/>
    <col min="1800" max="2049" width="9.140625" style="145"/>
    <col min="2050" max="2052" width="13.7109375" style="145" customWidth="1"/>
    <col min="2053" max="2054" width="9.140625" style="145"/>
    <col min="2055" max="2055" width="11.140625" style="145" bestFit="1" customWidth="1"/>
    <col min="2056" max="2305" width="9.140625" style="145"/>
    <col min="2306" max="2308" width="13.7109375" style="145" customWidth="1"/>
    <col min="2309" max="2310" width="9.140625" style="145"/>
    <col min="2311" max="2311" width="11.140625" style="145" bestFit="1" customWidth="1"/>
    <col min="2312" max="2561" width="9.140625" style="145"/>
    <col min="2562" max="2564" width="13.7109375" style="145" customWidth="1"/>
    <col min="2565" max="2566" width="9.140625" style="145"/>
    <col min="2567" max="2567" width="11.140625" style="145" bestFit="1" customWidth="1"/>
    <col min="2568" max="2817" width="9.140625" style="145"/>
    <col min="2818" max="2820" width="13.7109375" style="145" customWidth="1"/>
    <col min="2821" max="2822" width="9.140625" style="145"/>
    <col min="2823" max="2823" width="11.140625" style="145" bestFit="1" customWidth="1"/>
    <col min="2824" max="3073" width="9.140625" style="145"/>
    <col min="3074" max="3076" width="13.7109375" style="145" customWidth="1"/>
    <col min="3077" max="3078" width="9.140625" style="145"/>
    <col min="3079" max="3079" width="11.140625" style="145" bestFit="1" customWidth="1"/>
    <col min="3080" max="3329" width="9.140625" style="145"/>
    <col min="3330" max="3332" width="13.7109375" style="145" customWidth="1"/>
    <col min="3333" max="3334" width="9.140625" style="145"/>
    <col min="3335" max="3335" width="11.140625" style="145" bestFit="1" customWidth="1"/>
    <col min="3336" max="3585" width="9.140625" style="145"/>
    <col min="3586" max="3588" width="13.7109375" style="145" customWidth="1"/>
    <col min="3589" max="3590" width="9.140625" style="145"/>
    <col min="3591" max="3591" width="11.140625" style="145" bestFit="1" customWidth="1"/>
    <col min="3592" max="3841" width="9.140625" style="145"/>
    <col min="3842" max="3844" width="13.7109375" style="145" customWidth="1"/>
    <col min="3845" max="3846" width="9.140625" style="145"/>
    <col min="3847" max="3847" width="11.140625" style="145" bestFit="1" customWidth="1"/>
    <col min="3848" max="4097" width="9.140625" style="145"/>
    <col min="4098" max="4100" width="13.7109375" style="145" customWidth="1"/>
    <col min="4101" max="4102" width="9.140625" style="145"/>
    <col min="4103" max="4103" width="11.140625" style="145" bestFit="1" customWidth="1"/>
    <col min="4104" max="4353" width="9.140625" style="145"/>
    <col min="4354" max="4356" width="13.7109375" style="145" customWidth="1"/>
    <col min="4357" max="4358" width="9.140625" style="145"/>
    <col min="4359" max="4359" width="11.140625" style="145" bestFit="1" customWidth="1"/>
    <col min="4360" max="4609" width="9.140625" style="145"/>
    <col min="4610" max="4612" width="13.7109375" style="145" customWidth="1"/>
    <col min="4613" max="4614" width="9.140625" style="145"/>
    <col min="4615" max="4615" width="11.140625" style="145" bestFit="1" customWidth="1"/>
    <col min="4616" max="4865" width="9.140625" style="145"/>
    <col min="4866" max="4868" width="13.7109375" style="145" customWidth="1"/>
    <col min="4869" max="4870" width="9.140625" style="145"/>
    <col min="4871" max="4871" width="11.140625" style="145" bestFit="1" customWidth="1"/>
    <col min="4872" max="5121" width="9.140625" style="145"/>
    <col min="5122" max="5124" width="13.7109375" style="145" customWidth="1"/>
    <col min="5125" max="5126" width="9.140625" style="145"/>
    <col min="5127" max="5127" width="11.140625" style="145" bestFit="1" customWidth="1"/>
    <col min="5128" max="5377" width="9.140625" style="145"/>
    <col min="5378" max="5380" width="13.7109375" style="145" customWidth="1"/>
    <col min="5381" max="5382" width="9.140625" style="145"/>
    <col min="5383" max="5383" width="11.140625" style="145" bestFit="1" customWidth="1"/>
    <col min="5384" max="5633" width="9.140625" style="145"/>
    <col min="5634" max="5636" width="13.7109375" style="145" customWidth="1"/>
    <col min="5637" max="5638" width="9.140625" style="145"/>
    <col min="5639" max="5639" width="11.140625" style="145" bestFit="1" customWidth="1"/>
    <col min="5640" max="5889" width="9.140625" style="145"/>
    <col min="5890" max="5892" width="13.7109375" style="145" customWidth="1"/>
    <col min="5893" max="5894" width="9.140625" style="145"/>
    <col min="5895" max="5895" width="11.140625" style="145" bestFit="1" customWidth="1"/>
    <col min="5896" max="6145" width="9.140625" style="145"/>
    <col min="6146" max="6148" width="13.7109375" style="145" customWidth="1"/>
    <col min="6149" max="6150" width="9.140625" style="145"/>
    <col min="6151" max="6151" width="11.140625" style="145" bestFit="1" customWidth="1"/>
    <col min="6152" max="6401" width="9.140625" style="145"/>
    <col min="6402" max="6404" width="13.7109375" style="145" customWidth="1"/>
    <col min="6405" max="6406" width="9.140625" style="145"/>
    <col min="6407" max="6407" width="11.140625" style="145" bestFit="1" customWidth="1"/>
    <col min="6408" max="6657" width="9.140625" style="145"/>
    <col min="6658" max="6660" width="13.7109375" style="145" customWidth="1"/>
    <col min="6661" max="6662" width="9.140625" style="145"/>
    <col min="6663" max="6663" width="11.140625" style="145" bestFit="1" customWidth="1"/>
    <col min="6664" max="6913" width="9.140625" style="145"/>
    <col min="6914" max="6916" width="13.7109375" style="145" customWidth="1"/>
    <col min="6917" max="6918" width="9.140625" style="145"/>
    <col min="6919" max="6919" width="11.140625" style="145" bestFit="1" customWidth="1"/>
    <col min="6920" max="7169" width="9.140625" style="145"/>
    <col min="7170" max="7172" width="13.7109375" style="145" customWidth="1"/>
    <col min="7173" max="7174" width="9.140625" style="145"/>
    <col min="7175" max="7175" width="11.140625" style="145" bestFit="1" customWidth="1"/>
    <col min="7176" max="7425" width="9.140625" style="145"/>
    <col min="7426" max="7428" width="13.7109375" style="145" customWidth="1"/>
    <col min="7429" max="7430" width="9.140625" style="145"/>
    <col min="7431" max="7431" width="11.140625" style="145" bestFit="1" customWidth="1"/>
    <col min="7432" max="7681" width="9.140625" style="145"/>
    <col min="7682" max="7684" width="13.7109375" style="145" customWidth="1"/>
    <col min="7685" max="7686" width="9.140625" style="145"/>
    <col min="7687" max="7687" width="11.140625" style="145" bestFit="1" customWidth="1"/>
    <col min="7688" max="7937" width="9.140625" style="145"/>
    <col min="7938" max="7940" width="13.7109375" style="145" customWidth="1"/>
    <col min="7941" max="7942" width="9.140625" style="145"/>
    <col min="7943" max="7943" width="11.140625" style="145" bestFit="1" customWidth="1"/>
    <col min="7944" max="8193" width="9.140625" style="145"/>
    <col min="8194" max="8196" width="13.7109375" style="145" customWidth="1"/>
    <col min="8197" max="8198" width="9.140625" style="145"/>
    <col min="8199" max="8199" width="11.140625" style="145" bestFit="1" customWidth="1"/>
    <col min="8200" max="8449" width="9.140625" style="145"/>
    <col min="8450" max="8452" width="13.7109375" style="145" customWidth="1"/>
    <col min="8453" max="8454" width="9.140625" style="145"/>
    <col min="8455" max="8455" width="11.140625" style="145" bestFit="1" customWidth="1"/>
    <col min="8456" max="8705" width="9.140625" style="145"/>
    <col min="8706" max="8708" width="13.7109375" style="145" customWidth="1"/>
    <col min="8709" max="8710" width="9.140625" style="145"/>
    <col min="8711" max="8711" width="11.140625" style="145" bestFit="1" customWidth="1"/>
    <col min="8712" max="8961" width="9.140625" style="145"/>
    <col min="8962" max="8964" width="13.7109375" style="145" customWidth="1"/>
    <col min="8965" max="8966" width="9.140625" style="145"/>
    <col min="8967" max="8967" width="11.140625" style="145" bestFit="1" customWidth="1"/>
    <col min="8968" max="9217" width="9.140625" style="145"/>
    <col min="9218" max="9220" width="13.7109375" style="145" customWidth="1"/>
    <col min="9221" max="9222" width="9.140625" style="145"/>
    <col min="9223" max="9223" width="11.140625" style="145" bestFit="1" customWidth="1"/>
    <col min="9224" max="9473" width="9.140625" style="145"/>
    <col min="9474" max="9476" width="13.7109375" style="145" customWidth="1"/>
    <col min="9477" max="9478" width="9.140625" style="145"/>
    <col min="9479" max="9479" width="11.140625" style="145" bestFit="1" customWidth="1"/>
    <col min="9480" max="9729" width="9.140625" style="145"/>
    <col min="9730" max="9732" width="13.7109375" style="145" customWidth="1"/>
    <col min="9733" max="9734" width="9.140625" style="145"/>
    <col min="9735" max="9735" width="11.140625" style="145" bestFit="1" customWidth="1"/>
    <col min="9736" max="9985" width="9.140625" style="145"/>
    <col min="9986" max="9988" width="13.7109375" style="145" customWidth="1"/>
    <col min="9989" max="9990" width="9.140625" style="145"/>
    <col min="9991" max="9991" width="11.140625" style="145" bestFit="1" customWidth="1"/>
    <col min="9992" max="10241" width="9.140625" style="145"/>
    <col min="10242" max="10244" width="13.7109375" style="145" customWidth="1"/>
    <col min="10245" max="10246" width="9.140625" style="145"/>
    <col min="10247" max="10247" width="11.140625" style="145" bestFit="1" customWidth="1"/>
    <col min="10248" max="10497" width="9.140625" style="145"/>
    <col min="10498" max="10500" width="13.7109375" style="145" customWidth="1"/>
    <col min="10501" max="10502" width="9.140625" style="145"/>
    <col min="10503" max="10503" width="11.140625" style="145" bestFit="1" customWidth="1"/>
    <col min="10504" max="10753" width="9.140625" style="145"/>
    <col min="10754" max="10756" width="13.7109375" style="145" customWidth="1"/>
    <col min="10757" max="10758" width="9.140625" style="145"/>
    <col min="10759" max="10759" width="11.140625" style="145" bestFit="1" customWidth="1"/>
    <col min="10760" max="11009" width="9.140625" style="145"/>
    <col min="11010" max="11012" width="13.7109375" style="145" customWidth="1"/>
    <col min="11013" max="11014" width="9.140625" style="145"/>
    <col min="11015" max="11015" width="11.140625" style="145" bestFit="1" customWidth="1"/>
    <col min="11016" max="11265" width="9.140625" style="145"/>
    <col min="11266" max="11268" width="13.7109375" style="145" customWidth="1"/>
    <col min="11269" max="11270" width="9.140625" style="145"/>
    <col min="11271" max="11271" width="11.140625" style="145" bestFit="1" customWidth="1"/>
    <col min="11272" max="11521" width="9.140625" style="145"/>
    <col min="11522" max="11524" width="13.7109375" style="145" customWidth="1"/>
    <col min="11525" max="11526" width="9.140625" style="145"/>
    <col min="11527" max="11527" width="11.140625" style="145" bestFit="1" customWidth="1"/>
    <col min="11528" max="11777" width="9.140625" style="145"/>
    <col min="11778" max="11780" width="13.7109375" style="145" customWidth="1"/>
    <col min="11781" max="11782" width="9.140625" style="145"/>
    <col min="11783" max="11783" width="11.140625" style="145" bestFit="1" customWidth="1"/>
    <col min="11784" max="12033" width="9.140625" style="145"/>
    <col min="12034" max="12036" width="13.7109375" style="145" customWidth="1"/>
    <col min="12037" max="12038" width="9.140625" style="145"/>
    <col min="12039" max="12039" width="11.140625" style="145" bestFit="1" customWidth="1"/>
    <col min="12040" max="12289" width="9.140625" style="145"/>
    <col min="12290" max="12292" width="13.7109375" style="145" customWidth="1"/>
    <col min="12293" max="12294" width="9.140625" style="145"/>
    <col min="12295" max="12295" width="11.140625" style="145" bestFit="1" customWidth="1"/>
    <col min="12296" max="12545" width="9.140625" style="145"/>
    <col min="12546" max="12548" width="13.7109375" style="145" customWidth="1"/>
    <col min="12549" max="12550" width="9.140625" style="145"/>
    <col min="12551" max="12551" width="11.140625" style="145" bestFit="1" customWidth="1"/>
    <col min="12552" max="12801" width="9.140625" style="145"/>
    <col min="12802" max="12804" width="13.7109375" style="145" customWidth="1"/>
    <col min="12805" max="12806" width="9.140625" style="145"/>
    <col min="12807" max="12807" width="11.140625" style="145" bestFit="1" customWidth="1"/>
    <col min="12808" max="13057" width="9.140625" style="145"/>
    <col min="13058" max="13060" width="13.7109375" style="145" customWidth="1"/>
    <col min="13061" max="13062" width="9.140625" style="145"/>
    <col min="13063" max="13063" width="11.140625" style="145" bestFit="1" customWidth="1"/>
    <col min="13064" max="13313" width="9.140625" style="145"/>
    <col min="13314" max="13316" width="13.7109375" style="145" customWidth="1"/>
    <col min="13317" max="13318" width="9.140625" style="145"/>
    <col min="13319" max="13319" width="11.140625" style="145" bestFit="1" customWidth="1"/>
    <col min="13320" max="13569" width="9.140625" style="145"/>
    <col min="13570" max="13572" width="13.7109375" style="145" customWidth="1"/>
    <col min="13573" max="13574" width="9.140625" style="145"/>
    <col min="13575" max="13575" width="11.140625" style="145" bestFit="1" customWidth="1"/>
    <col min="13576" max="13825" width="9.140625" style="145"/>
    <col min="13826" max="13828" width="13.7109375" style="145" customWidth="1"/>
    <col min="13829" max="13830" width="9.140625" style="145"/>
    <col min="13831" max="13831" width="11.140625" style="145" bestFit="1" customWidth="1"/>
    <col min="13832" max="14081" width="9.140625" style="145"/>
    <col min="14082" max="14084" width="13.7109375" style="145" customWidth="1"/>
    <col min="14085" max="14086" width="9.140625" style="145"/>
    <col min="14087" max="14087" width="11.140625" style="145" bestFit="1" customWidth="1"/>
    <col min="14088" max="14337" width="9.140625" style="145"/>
    <col min="14338" max="14340" width="13.7109375" style="145" customWidth="1"/>
    <col min="14341" max="14342" width="9.140625" style="145"/>
    <col min="14343" max="14343" width="11.140625" style="145" bestFit="1" customWidth="1"/>
    <col min="14344" max="14593" width="9.140625" style="145"/>
    <col min="14594" max="14596" width="13.7109375" style="145" customWidth="1"/>
    <col min="14597" max="14598" width="9.140625" style="145"/>
    <col min="14599" max="14599" width="11.140625" style="145" bestFit="1" customWidth="1"/>
    <col min="14600" max="14849" width="9.140625" style="145"/>
    <col min="14850" max="14852" width="13.7109375" style="145" customWidth="1"/>
    <col min="14853" max="14854" width="9.140625" style="145"/>
    <col min="14855" max="14855" width="11.140625" style="145" bestFit="1" customWidth="1"/>
    <col min="14856" max="15105" width="9.140625" style="145"/>
    <col min="15106" max="15108" width="13.7109375" style="145" customWidth="1"/>
    <col min="15109" max="15110" width="9.140625" style="145"/>
    <col min="15111" max="15111" width="11.140625" style="145" bestFit="1" customWidth="1"/>
    <col min="15112" max="15361" width="9.140625" style="145"/>
    <col min="15362" max="15364" width="13.7109375" style="145" customWidth="1"/>
    <col min="15365" max="15366" width="9.140625" style="145"/>
    <col min="15367" max="15367" width="11.140625" style="145" bestFit="1" customWidth="1"/>
    <col min="15368" max="15617" width="9.140625" style="145"/>
    <col min="15618" max="15620" width="13.7109375" style="145" customWidth="1"/>
    <col min="15621" max="15622" width="9.140625" style="145"/>
    <col min="15623" max="15623" width="11.140625" style="145" bestFit="1" customWidth="1"/>
    <col min="15624" max="15873" width="9.140625" style="145"/>
    <col min="15874" max="15876" width="13.7109375" style="145" customWidth="1"/>
    <col min="15877" max="15878" width="9.140625" style="145"/>
    <col min="15879" max="15879" width="11.140625" style="145" bestFit="1" customWidth="1"/>
    <col min="15880" max="16129" width="9.140625" style="145"/>
    <col min="16130" max="16132" width="13.7109375" style="145" customWidth="1"/>
    <col min="16133" max="16134" width="9.140625" style="145"/>
    <col min="16135" max="16135" width="11.140625" style="145" bestFit="1" customWidth="1"/>
    <col min="16136" max="16384" width="9.140625" style="145"/>
  </cols>
  <sheetData>
    <row r="1" spans="1:9">
      <c r="A1" s="143" t="s">
        <v>303</v>
      </c>
    </row>
    <row r="2" spans="1:9">
      <c r="F2" s="146"/>
      <c r="G2" s="146"/>
      <c r="H2" s="146"/>
      <c r="I2" s="146"/>
    </row>
    <row r="3" spans="1:9">
      <c r="A3" s="147" t="s">
        <v>304</v>
      </c>
      <c r="B3" s="148" t="s">
        <v>305</v>
      </c>
      <c r="C3" s="148" t="s">
        <v>13</v>
      </c>
      <c r="D3" s="148" t="s">
        <v>306</v>
      </c>
      <c r="F3" s="146"/>
      <c r="G3" s="146"/>
      <c r="H3" s="146"/>
      <c r="I3" s="146"/>
    </row>
    <row r="4" spans="1:9">
      <c r="A4" s="149">
        <v>40848</v>
      </c>
      <c r="B4" s="150">
        <v>6.3730749068227372E-4</v>
      </c>
      <c r="C4" s="150">
        <v>0</v>
      </c>
      <c r="D4" s="150">
        <v>6.3730749068227372E-4</v>
      </c>
      <c r="F4" s="151"/>
      <c r="G4" s="151"/>
      <c r="H4" s="151"/>
      <c r="I4" s="146"/>
    </row>
    <row r="5" spans="1:9">
      <c r="A5" s="149">
        <v>40968</v>
      </c>
      <c r="B5" s="152">
        <v>7.8575568839498605E-4</v>
      </c>
      <c r="C5" s="150">
        <v>0</v>
      </c>
      <c r="D5" s="150">
        <v>7.8575568839498605E-4</v>
      </c>
      <c r="F5" s="153"/>
      <c r="G5" s="151"/>
      <c r="H5" s="151"/>
      <c r="I5" s="146"/>
    </row>
    <row r="6" spans="1:9">
      <c r="A6" s="149">
        <v>41060</v>
      </c>
      <c r="B6" s="154">
        <v>1.478007888394986E-3</v>
      </c>
      <c r="C6" s="150">
        <v>3.4700935585714286E-4</v>
      </c>
      <c r="D6" s="150">
        <v>1.1309985325378431E-3</v>
      </c>
      <c r="F6" s="151"/>
      <c r="G6" s="153"/>
      <c r="H6" s="151"/>
      <c r="I6" s="146"/>
    </row>
    <row r="7" spans="1:9">
      <c r="A7" s="149">
        <v>41151</v>
      </c>
      <c r="B7" s="154">
        <v>3.3036485741092716E-3</v>
      </c>
      <c r="C7" s="150">
        <v>6.9401871171428573E-4</v>
      </c>
      <c r="D7" s="150">
        <v>2.6096298623949857E-3</v>
      </c>
      <c r="F7" s="151"/>
      <c r="G7" s="151"/>
      <c r="H7" s="151"/>
      <c r="I7" s="146"/>
    </row>
    <row r="8" spans="1:9">
      <c r="A8" s="149">
        <v>41243</v>
      </c>
      <c r="B8" s="154">
        <v>4.9862990598235572E-3</v>
      </c>
      <c r="C8" s="150">
        <v>1.2501595844415583E-3</v>
      </c>
      <c r="D8" s="150">
        <v>3.7361394753819988E-3</v>
      </c>
      <c r="F8" s="146"/>
      <c r="G8" s="146"/>
      <c r="H8" s="146"/>
      <c r="I8" s="146"/>
    </row>
    <row r="9" spans="1:9">
      <c r="A9" s="149">
        <v>41333</v>
      </c>
      <c r="B9" s="154">
        <v>5.2467130883949858E-3</v>
      </c>
      <c r="C9" s="150">
        <v>1.8300154857402596E-3</v>
      </c>
      <c r="D9" s="150">
        <f>B9-C9</f>
        <v>3.4166976026547263E-3</v>
      </c>
      <c r="F9" s="146"/>
      <c r="G9" s="146"/>
      <c r="H9" s="146"/>
      <c r="I9" s="146"/>
    </row>
    <row r="10" spans="1:9">
      <c r="A10" s="149">
        <v>41425</v>
      </c>
      <c r="B10" s="154">
        <v>1.0008851316966414E-2</v>
      </c>
      <c r="C10" s="150">
        <v>1.8300154857402596E-3</v>
      </c>
      <c r="D10" s="150">
        <f>B10-C10</f>
        <v>8.1788358312261545E-3</v>
      </c>
    </row>
    <row r="11" spans="1:9">
      <c r="A11" s="149">
        <v>41517</v>
      </c>
      <c r="B11" s="154">
        <v>1.4294924488394985E-2</v>
      </c>
      <c r="C11" s="150">
        <v>3.1237907948311683E-3</v>
      </c>
      <c r="D11" s="150">
        <f>B11-C11</f>
        <v>1.1171133693563817E-2</v>
      </c>
    </row>
    <row r="12" spans="1:9">
      <c r="A12" s="149">
        <v>41608</v>
      </c>
      <c r="B12" s="154">
        <f>B11+('Collateral Tables'!I9/350000000)</f>
        <v>1.6283327574109271E-2</v>
      </c>
      <c r="C12" s="152">
        <f>C11+('Collateral Tables'!I23/350000000)</f>
        <v>5.1158581922337654E-3</v>
      </c>
      <c r="D12" s="150">
        <f>B12-C12</f>
        <v>1.1167469381875506E-2</v>
      </c>
    </row>
    <row r="13" spans="1:9">
      <c r="A13" s="149">
        <v>41671</v>
      </c>
      <c r="B13" s="154">
        <f>B12+('Collateral Tables'!E9/350000000)</f>
        <v>1.6659935716966414E-2</v>
      </c>
      <c r="C13" s="154">
        <f>C12+('Collateral Tables'!E23/350000000)</f>
        <v>7.6290987169142848E-3</v>
      </c>
      <c r="D13" s="154">
        <f>B13-C13</f>
        <v>9.0308370000521283E-3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T250"/>
  <sheetViews>
    <sheetView zoomScaleNormal="100" workbookViewId="0">
      <pane xSplit="3" ySplit="4" topLeftCell="D8" activePane="bottomRight" state="frozen"/>
      <selection pane="topRight" activeCell="D1" sqref="D1"/>
      <selection pane="bottomLeft" activeCell="A5" sqref="A5"/>
      <selection pane="bottomRight" activeCell="E23" sqref="E23"/>
    </sheetView>
  </sheetViews>
  <sheetFormatPr defaultRowHeight="12.75"/>
  <cols>
    <col min="1" max="1" width="17.42578125" style="5" customWidth="1"/>
    <col min="2" max="2" width="36.7109375" style="1" customWidth="1"/>
    <col min="3" max="4" width="3" style="5" customWidth="1"/>
    <col min="5" max="5" width="17.140625" style="1" customWidth="1"/>
    <col min="6" max="6" width="15.85546875" style="102" customWidth="1"/>
    <col min="7" max="7" width="13.85546875" style="1" bestFit="1" customWidth="1"/>
    <col min="8" max="8" width="3" style="5" customWidth="1"/>
    <col min="9" max="9" width="17.140625" style="1" customWidth="1"/>
    <col min="10" max="10" width="15.85546875" style="102" customWidth="1"/>
    <col min="11" max="11" width="13.85546875" style="1" bestFit="1" customWidth="1"/>
    <col min="12" max="12" width="3" style="5" customWidth="1"/>
    <col min="13" max="13" width="17.140625" style="1" customWidth="1"/>
    <col min="14" max="14" width="15.85546875" style="102" customWidth="1"/>
    <col min="15" max="15" width="13.85546875" style="1" bestFit="1" customWidth="1"/>
    <col min="16" max="16" width="3" style="5" customWidth="1"/>
    <col min="17" max="17" width="17.140625" style="1" customWidth="1"/>
    <col min="18" max="18" width="15.85546875" style="102" customWidth="1"/>
    <col min="19" max="19" width="13.85546875" style="1" bestFit="1" customWidth="1"/>
    <col min="20" max="20" width="2.7109375" style="5" customWidth="1"/>
    <col min="21" max="21" width="17.140625" style="1" customWidth="1"/>
    <col min="22" max="22" width="15.85546875" style="102" customWidth="1"/>
    <col min="23" max="23" width="13.85546875" style="1" bestFit="1" customWidth="1"/>
    <col min="24" max="24" width="3" style="5" customWidth="1"/>
    <col min="25" max="25" width="17.140625" style="1" customWidth="1"/>
    <col min="26" max="26" width="15.85546875" style="102" customWidth="1"/>
    <col min="27" max="27" width="13.85546875" style="1" bestFit="1" customWidth="1"/>
    <col min="28" max="28" width="3" style="5" customWidth="1"/>
    <col min="29" max="29" width="17.140625" style="1" customWidth="1"/>
    <col min="30" max="30" width="15.85546875" style="102" customWidth="1"/>
    <col min="31" max="31" width="13.85546875" style="1" bestFit="1" customWidth="1"/>
    <col min="32" max="32" width="3" style="5" customWidth="1"/>
    <col min="33" max="33" width="17.140625" style="1" customWidth="1"/>
    <col min="34" max="34" width="15.85546875" style="102" customWidth="1"/>
    <col min="35" max="35" width="13.85546875" style="1" bestFit="1" customWidth="1"/>
    <col min="36" max="36" width="3" style="5" customWidth="1"/>
    <col min="37" max="37" width="17.140625" style="1" customWidth="1"/>
    <col min="38" max="38" width="15.85546875" style="102" customWidth="1"/>
    <col min="39" max="39" width="13.85546875" style="1" bestFit="1" customWidth="1"/>
    <col min="40" max="40" width="3" style="5" customWidth="1"/>
    <col min="41" max="41" width="17.140625" style="1" customWidth="1"/>
    <col min="42" max="42" width="15.85546875" style="102" customWidth="1"/>
    <col min="43" max="43" width="13.85546875" style="1" bestFit="1" customWidth="1"/>
    <col min="44" max="44" width="3" style="5" customWidth="1"/>
  </cols>
  <sheetData>
    <row r="1" spans="1:44">
      <c r="B1" s="18" t="s">
        <v>236</v>
      </c>
    </row>
    <row r="2" spans="1:44">
      <c r="B2" s="3" t="s">
        <v>20</v>
      </c>
      <c r="E2" s="3"/>
      <c r="I2" s="3"/>
      <c r="M2" s="3"/>
      <c r="Q2" s="3"/>
      <c r="U2" s="3"/>
      <c r="Y2" s="3"/>
      <c r="AC2" s="3"/>
      <c r="AG2" s="3"/>
      <c r="AK2" s="3"/>
      <c r="AO2" s="3"/>
    </row>
    <row r="4" spans="1:44">
      <c r="A4" s="48"/>
      <c r="B4" s="49" t="s">
        <v>21</v>
      </c>
      <c r="C4" s="50"/>
      <c r="D4" s="50"/>
      <c r="E4" s="51">
        <v>41698</v>
      </c>
      <c r="F4" s="111"/>
      <c r="G4" s="26"/>
      <c r="H4" s="50"/>
      <c r="I4" s="51">
        <v>41608</v>
      </c>
      <c r="J4" s="111"/>
      <c r="K4" s="26"/>
      <c r="L4" s="50"/>
      <c r="M4" s="51">
        <v>41517</v>
      </c>
      <c r="N4" s="111"/>
      <c r="O4" s="26"/>
      <c r="P4" s="50"/>
      <c r="Q4" s="51">
        <v>41425</v>
      </c>
      <c r="R4" s="111"/>
      <c r="S4" s="26"/>
      <c r="T4" s="50"/>
      <c r="U4" s="51">
        <v>41333</v>
      </c>
      <c r="V4" s="111"/>
      <c r="W4" s="26"/>
      <c r="X4" s="50"/>
      <c r="Y4" s="51">
        <v>41243</v>
      </c>
      <c r="Z4" s="111"/>
      <c r="AA4" s="26"/>
      <c r="AB4" s="50"/>
      <c r="AC4" s="51">
        <v>41152</v>
      </c>
      <c r="AD4" s="111"/>
      <c r="AE4" s="26"/>
      <c r="AF4" s="50"/>
      <c r="AG4" s="51">
        <v>41060</v>
      </c>
      <c r="AH4" s="111"/>
      <c r="AI4" s="26"/>
      <c r="AJ4" s="48"/>
      <c r="AK4" s="51">
        <v>40968</v>
      </c>
      <c r="AL4" s="111"/>
      <c r="AM4" s="26"/>
      <c r="AN4" s="48"/>
      <c r="AO4" s="51">
        <v>40877</v>
      </c>
      <c r="AP4" s="111"/>
      <c r="AQ4" s="26"/>
      <c r="AR4" s="48"/>
    </row>
    <row r="5" spans="1:44" ht="13.5" thickBot="1"/>
    <row r="6" spans="1:44" ht="13.5" thickBot="1">
      <c r="B6" s="1" t="s">
        <v>22</v>
      </c>
      <c r="E6" s="87">
        <f>I13</f>
        <v>122415113.53</v>
      </c>
      <c r="F6" s="112"/>
      <c r="I6" s="87">
        <v>137450609.89000002</v>
      </c>
      <c r="J6" s="112"/>
      <c r="M6" s="87">
        <v>154418920.70000005</v>
      </c>
      <c r="N6" s="112"/>
      <c r="Q6" s="87">
        <v>184802944.97</v>
      </c>
      <c r="R6" s="112"/>
      <c r="U6" s="87">
        <f>Y13</f>
        <v>213516536.24000001</v>
      </c>
      <c r="V6" s="112"/>
      <c r="Y6" s="87">
        <f>AC13</f>
        <v>233023822.00000003</v>
      </c>
      <c r="Z6" s="112"/>
      <c r="AC6" s="87">
        <f>AG13</f>
        <v>253388443.91000006</v>
      </c>
      <c r="AD6" s="112"/>
      <c r="AG6" s="87">
        <f>AK13</f>
        <v>289481166.91999996</v>
      </c>
      <c r="AH6" s="112"/>
      <c r="AK6" s="87">
        <f>AO13</f>
        <v>323106015.29999995</v>
      </c>
      <c r="AL6" s="112"/>
      <c r="AO6" s="87">
        <f>[2]Summary!$B$29</f>
        <v>349999197.02999997</v>
      </c>
      <c r="AP6" s="112"/>
    </row>
    <row r="7" spans="1:44">
      <c r="B7" s="1" t="s">
        <v>23</v>
      </c>
      <c r="E7" s="53">
        <f>MIN('[1]17 Mar 14'!$H23,SUM([3]Sheet1!$B$2,[4]Sheet1!$B$2,[5]Sheet1!$B$2))</f>
        <v>22570766.610000007</v>
      </c>
      <c r="F7" s="113"/>
      <c r="I7" s="53">
        <v>9748521.6300000027</v>
      </c>
      <c r="J7" s="113"/>
      <c r="M7" s="53">
        <v>15468185.20000002</v>
      </c>
      <c r="N7" s="113"/>
      <c r="Q7" s="53">
        <v>28717275.889999948</v>
      </c>
      <c r="R7" s="113"/>
      <c r="U7" s="53">
        <f>MIN('[1]15 Mar 13'!H23,SUM([6]Sheet1!$B$2,[7]Sheet1!$B$2,[8]Sheet1!$B$2))</f>
        <v>28622446.360000011</v>
      </c>
      <c r="V7" s="113"/>
      <c r="Y7" s="53">
        <f>[9]Sheet1!$B$2+[10]Sheet1!$B$2+[11]Sheet1!$B$2</f>
        <v>12402247.010000013</v>
      </c>
      <c r="Z7" s="113"/>
      <c r="AC7" s="53">
        <f>MIN([12]Sheet1!$B$2+[13]Sheet1!$B$2+[14]Sheet1!$B$2,'[1]15 Jun 12'!$H$23)</f>
        <v>18972868.450000014</v>
      </c>
      <c r="AD7" s="113"/>
      <c r="AG7" s="53">
        <f>MIN([15]Sheet1!$B$2+[16]Sheet1!$B$2+[17]Sheet1!$B$2,'[1]15 Jun 12'!$H$23)</f>
        <v>35850434.739999898</v>
      </c>
      <c r="AH7" s="113"/>
      <c r="AK7" s="53">
        <f>'[18]Payment Schedule'!$B$2+[19]Sheet1!$B$2+[20]FINAL!$B$2</f>
        <v>31868646.059999987</v>
      </c>
      <c r="AL7" s="113"/>
      <c r="AO7" s="53">
        <v>16275430.98</v>
      </c>
      <c r="AP7" s="113"/>
    </row>
    <row r="8" spans="1:44">
      <c r="B8" s="1" t="s">
        <v>24</v>
      </c>
      <c r="E8" s="53">
        <f>'[1]17 Mar 14'!$H$23-'Collateral Tables'!E7</f>
        <v>739633.31000002101</v>
      </c>
      <c r="F8" s="113"/>
      <c r="I8" s="53">
        <v>4591033.6500000246</v>
      </c>
      <c r="J8" s="113"/>
      <c r="M8" s="53">
        <v>0</v>
      </c>
      <c r="N8" s="113"/>
      <c r="Q8" s="53">
        <v>0</v>
      </c>
      <c r="R8" s="113"/>
      <c r="U8" s="53">
        <f>'[1]15 Mar 13'!H23-'Collateral Tables'!U7</f>
        <v>0</v>
      </c>
      <c r="V8" s="113"/>
      <c r="Y8" s="53">
        <f>'[1]17 Dec 12'!H23-Y7</f>
        <v>6516111.0800000131</v>
      </c>
      <c r="Z8" s="113"/>
      <c r="AC8" s="53">
        <f>'[1]15 Sep 12'!H23-'Collateral Tables'!AC7</f>
        <v>752779.22000000626</v>
      </c>
      <c r="AD8" s="113"/>
      <c r="AG8" s="53">
        <f>'[1]15 Jun 12'!H23-'Collateral Tables'!AG7</f>
        <v>0</v>
      </c>
      <c r="AH8" s="113"/>
      <c r="AK8" s="53">
        <f>'[1]15 Mar 12'!H23-'Collateral Tables'!AK7</f>
        <v>1704245.5699999854</v>
      </c>
      <c r="AL8" s="103">
        <f>AK9/AK6</f>
        <v>1.6080403192666901E-4</v>
      </c>
      <c r="AO8" s="53">
        <v>10394693.640000001</v>
      </c>
      <c r="AP8" s="113"/>
    </row>
    <row r="9" spans="1:44">
      <c r="A9" s="155">
        <f>SUM(E9:AO9)</f>
        <v>5830976.872521718</v>
      </c>
      <c r="B9" s="1" t="s">
        <v>5</v>
      </c>
      <c r="E9" s="53">
        <f>'[1]17 Mar 14'!$H37</f>
        <v>131812.85</v>
      </c>
      <c r="F9" s="113"/>
      <c r="I9" s="53">
        <v>695941.08000000007</v>
      </c>
      <c r="J9" s="113"/>
      <c r="M9" s="53">
        <v>1500125.61</v>
      </c>
      <c r="N9" s="113"/>
      <c r="Q9" s="53">
        <v>1666748.38</v>
      </c>
      <c r="R9" s="113"/>
      <c r="U9" s="53">
        <f>'[1]15 Mar 13'!H37</f>
        <v>91144.91</v>
      </c>
      <c r="V9" s="113"/>
      <c r="Y9" s="53">
        <f>'[1]17 Dec 12'!H37</f>
        <v>588927.66999999993</v>
      </c>
      <c r="Z9" s="113"/>
      <c r="AC9" s="53">
        <f>'[1]15 Sep 12'!H37</f>
        <v>638974.24</v>
      </c>
      <c r="AD9" s="113">
        <f>AC9/AC6</f>
        <v>2.5217181578610368E-3</v>
      </c>
      <c r="AG9" s="53">
        <f>'[1]15 Jun 12'!H37</f>
        <v>242288.27000000002</v>
      </c>
      <c r="AH9" s="113"/>
      <c r="AK9" s="53">
        <f>'[1]15 Mar 12'!H37</f>
        <v>51956.75</v>
      </c>
      <c r="AL9" s="113"/>
      <c r="AO9" s="53">
        <v>223057.11</v>
      </c>
      <c r="AP9" s="113"/>
    </row>
    <row r="10" spans="1:44">
      <c r="A10" s="108"/>
      <c r="B10" s="1" t="s">
        <v>25</v>
      </c>
      <c r="E10" s="53"/>
      <c r="F10" s="113"/>
      <c r="I10" s="53"/>
      <c r="J10" s="113"/>
      <c r="M10" s="53"/>
      <c r="N10" s="113"/>
      <c r="Q10" s="53"/>
      <c r="R10" s="113"/>
      <c r="U10" s="53"/>
      <c r="V10" s="113"/>
      <c r="Y10" s="53"/>
      <c r="Z10" s="113"/>
      <c r="AC10" s="53"/>
      <c r="AD10" s="113"/>
      <c r="AG10" s="53"/>
      <c r="AH10" s="113"/>
      <c r="AK10" s="53"/>
      <c r="AL10" s="113"/>
      <c r="AO10" s="53"/>
      <c r="AP10" s="113"/>
    </row>
    <row r="11" spans="1:44">
      <c r="A11" s="132"/>
      <c r="B11" s="5" t="s">
        <v>26</v>
      </c>
      <c r="E11" s="53"/>
      <c r="F11" s="114"/>
      <c r="I11" s="53"/>
      <c r="J11" s="114"/>
      <c r="M11" s="53"/>
      <c r="N11" s="114"/>
      <c r="Q11" s="53"/>
      <c r="R11" s="114"/>
      <c r="U11" s="53"/>
      <c r="V11" s="114"/>
      <c r="Y11" s="53"/>
      <c r="Z11" s="114"/>
      <c r="AC11" s="53"/>
      <c r="AD11" s="114"/>
      <c r="AG11" s="53"/>
      <c r="AH11" s="114"/>
      <c r="AK11" s="53"/>
      <c r="AL11" s="114"/>
      <c r="AO11" s="53"/>
      <c r="AP11" s="114"/>
    </row>
    <row r="12" spans="1:44" ht="13.5" thickBot="1">
      <c r="A12" s="108"/>
      <c r="B12" s="5" t="s">
        <v>27</v>
      </c>
      <c r="E12" s="89"/>
      <c r="F12" s="113"/>
      <c r="G12" s="52"/>
      <c r="I12" s="89"/>
      <c r="J12" s="113"/>
      <c r="K12" s="52"/>
      <c r="M12" s="89"/>
      <c r="N12" s="113"/>
      <c r="O12" s="52"/>
      <c r="Q12" s="89"/>
      <c r="R12" s="113"/>
      <c r="S12" s="52"/>
      <c r="U12" s="89"/>
      <c r="V12" s="113"/>
      <c r="W12" s="52"/>
      <c r="Y12" s="89"/>
      <c r="Z12" s="113"/>
      <c r="AA12" s="52"/>
      <c r="AC12" s="89"/>
      <c r="AD12" s="113"/>
      <c r="AE12" s="52"/>
      <c r="AG12" s="89"/>
      <c r="AH12" s="113"/>
      <c r="AI12" s="52"/>
      <c r="AJ12" s="53"/>
      <c r="AK12" s="89"/>
      <c r="AL12" s="113"/>
      <c r="AM12" s="52"/>
      <c r="AN12" s="53"/>
      <c r="AO12" s="89"/>
      <c r="AP12" s="113"/>
      <c r="AQ12" s="52"/>
      <c r="AR12" s="53"/>
    </row>
    <row r="13" spans="1:44" ht="13.5" thickBot="1">
      <c r="A13" s="108"/>
      <c r="B13" s="1" t="s">
        <v>28</v>
      </c>
      <c r="E13" s="88">
        <f>E6-E7-E8-E9+E10+E11-E12</f>
        <v>98972900.759999976</v>
      </c>
      <c r="F13" s="112"/>
      <c r="G13" s="52"/>
      <c r="I13" s="88">
        <v>122415113.53</v>
      </c>
      <c r="J13" s="112"/>
      <c r="K13" s="52"/>
      <c r="M13" s="88">
        <v>137450609.89000002</v>
      </c>
      <c r="N13" s="112"/>
      <c r="O13" s="52"/>
      <c r="Q13" s="88">
        <v>154418920.70000005</v>
      </c>
      <c r="R13" s="112"/>
      <c r="S13" s="52"/>
      <c r="U13" s="88">
        <f>U6-U7-U8-U9+U10+U11-U12</f>
        <v>184802944.97</v>
      </c>
      <c r="V13" s="112"/>
      <c r="W13" s="52"/>
      <c r="Y13" s="88">
        <f>Y6-Y7-Y8-Y9+Y10+Y11-Y12</f>
        <v>213516536.24000001</v>
      </c>
      <c r="Z13" s="112"/>
      <c r="AA13" s="52"/>
      <c r="AC13" s="88">
        <f>AC6-AC7-AC8-AC9+AC10+AC11-AC12</f>
        <v>233023822.00000003</v>
      </c>
      <c r="AD13" s="112"/>
      <c r="AE13" s="52"/>
      <c r="AG13" s="88">
        <f>AG6-AG7-AG8-AG9+AG10+AG11-AG12</f>
        <v>253388443.91000006</v>
      </c>
      <c r="AH13" s="112"/>
      <c r="AI13" s="52"/>
      <c r="AJ13" s="53"/>
      <c r="AK13" s="88">
        <f>AK6-AK7-AK8-AK9+AK10+AK11-AK12</f>
        <v>289481166.91999996</v>
      </c>
      <c r="AL13" s="112"/>
      <c r="AM13" s="52"/>
      <c r="AN13" s="53"/>
      <c r="AO13" s="88">
        <f>AO6-AO7-AO8-AO9+AO10+AO11-AO12</f>
        <v>323106015.29999995</v>
      </c>
      <c r="AP13" s="112">
        <v>0</v>
      </c>
      <c r="AQ13" s="52"/>
      <c r="AR13" s="53"/>
    </row>
    <row r="14" spans="1:44">
      <c r="A14" s="108"/>
      <c r="E14" s="52"/>
      <c r="I14" s="52"/>
      <c r="M14" s="52"/>
      <c r="Q14" s="52"/>
      <c r="U14" s="52"/>
      <c r="Y14" s="52"/>
      <c r="AC14" s="52"/>
      <c r="AG14" s="52"/>
      <c r="AK14" s="52"/>
      <c r="AO14" s="52"/>
    </row>
    <row r="15" spans="1:44">
      <c r="A15" s="109"/>
      <c r="B15" s="49" t="s">
        <v>29</v>
      </c>
      <c r="C15" s="50"/>
      <c r="D15" s="50"/>
      <c r="E15" s="51"/>
      <c r="F15" s="111"/>
      <c r="G15" s="51"/>
      <c r="H15" s="50"/>
      <c r="I15" s="51"/>
      <c r="J15" s="111"/>
      <c r="K15" s="51"/>
      <c r="L15" s="50"/>
      <c r="M15" s="51"/>
      <c r="N15" s="111"/>
      <c r="O15" s="51"/>
      <c r="P15" s="50"/>
      <c r="Q15" s="51"/>
      <c r="R15" s="111"/>
      <c r="S15" s="51"/>
      <c r="T15" s="50"/>
      <c r="U15" s="51"/>
      <c r="V15" s="111"/>
      <c r="W15" s="51"/>
      <c r="X15" s="50"/>
      <c r="Y15" s="51"/>
      <c r="Z15" s="111"/>
      <c r="AA15" s="51"/>
      <c r="AB15" s="50"/>
      <c r="AC15" s="51"/>
      <c r="AD15" s="111"/>
      <c r="AE15" s="51"/>
      <c r="AF15" s="50"/>
      <c r="AG15" s="51"/>
      <c r="AH15" s="111"/>
      <c r="AI15" s="51"/>
      <c r="AJ15" s="54"/>
      <c r="AK15" s="51"/>
      <c r="AL15" s="111"/>
      <c r="AM15" s="51"/>
      <c r="AN15" s="54"/>
      <c r="AO15" s="51"/>
      <c r="AP15" s="111"/>
      <c r="AQ15" s="51"/>
      <c r="AR15" s="54"/>
    </row>
    <row r="16" spans="1:44">
      <c r="A16" s="108"/>
      <c r="B16" s="3"/>
      <c r="C16" s="55"/>
      <c r="D16" s="55"/>
      <c r="H16" s="55"/>
      <c r="L16" s="55"/>
      <c r="P16" s="55"/>
      <c r="T16" s="55"/>
      <c r="X16" s="55"/>
      <c r="AB16" s="55"/>
      <c r="AF16" s="55"/>
    </row>
    <row r="17" spans="1:46">
      <c r="A17" s="108"/>
      <c r="B17" s="3" t="s">
        <v>30</v>
      </c>
      <c r="C17" s="55"/>
      <c r="D17" s="55"/>
      <c r="H17" s="55"/>
      <c r="L17" s="55"/>
      <c r="P17" s="55"/>
      <c r="T17" s="55"/>
      <c r="X17" s="55"/>
      <c r="AB17" s="55"/>
      <c r="AF17" s="55"/>
    </row>
    <row r="18" spans="1:46">
      <c r="A18" s="108"/>
      <c r="B18" s="1" t="s">
        <v>31</v>
      </c>
      <c r="E18" s="56">
        <f>'[21]Servicer Recon'!$B$4</f>
        <v>2159</v>
      </c>
      <c r="I18" s="56">
        <v>2400</v>
      </c>
      <c r="M18" s="56">
        <v>2594</v>
      </c>
      <c r="Q18" s="56">
        <v>2808</v>
      </c>
      <c r="U18" s="56">
        <f>'[22]Servicer Recon'!$B$4</f>
        <v>3024</v>
      </c>
      <c r="Y18" s="56">
        <f>'[23]Servicer Recon'!$B$4</f>
        <v>3222</v>
      </c>
      <c r="AC18" s="56">
        <f>'[24]Servicer Recon'!$B$4</f>
        <v>3368</v>
      </c>
      <c r="AG18" s="56">
        <f>'[25]Servicer Recon'!$B$4</f>
        <v>3506</v>
      </c>
      <c r="AK18" s="56">
        <f>[26]Summary!$B$4</f>
        <v>3672</v>
      </c>
      <c r="AO18" s="56">
        <f>[2]Summary!$B$4</f>
        <v>3797</v>
      </c>
    </row>
    <row r="19" spans="1:46">
      <c r="A19" s="108"/>
      <c r="B19" s="1" t="s">
        <v>32</v>
      </c>
      <c r="E19" s="90">
        <f>'[21]Servicer Recon'!$B$5</f>
        <v>98972900.760000035</v>
      </c>
      <c r="I19" s="90">
        <v>122415113.52999993</v>
      </c>
      <c r="M19" s="90">
        <v>137450609.89000002</v>
      </c>
      <c r="Q19" s="90">
        <v>154418920.69999993</v>
      </c>
      <c r="U19" s="90">
        <f>'[22]Servicer Recon'!$B$5</f>
        <v>184802944.97000018</v>
      </c>
      <c r="Y19" s="90">
        <f>'[23]Servicer Recon'!$B$5</f>
        <v>213516536.23999986</v>
      </c>
      <c r="AC19" s="90">
        <f>'[24]Servicer Recon'!$B$5</f>
        <v>233023822.00000036</v>
      </c>
      <c r="AG19" s="90">
        <f>'[25]Servicer Recon'!$B$5</f>
        <v>253388443.90999967</v>
      </c>
      <c r="AK19" s="90">
        <f>[26]Summary!$B$5</f>
        <v>289481166.92000002</v>
      </c>
      <c r="AO19" s="90">
        <f>[2]Summary!$B$5</f>
        <v>323106015.30000007</v>
      </c>
    </row>
    <row r="20" spans="1:46">
      <c r="A20" s="108"/>
      <c r="B20" s="1" t="s">
        <v>33</v>
      </c>
      <c r="E20" s="58">
        <f>'[21]Servicer Recon'!$B$19</f>
        <v>240</v>
      </c>
      <c r="I20" s="58">
        <v>185</v>
      </c>
      <c r="M20" s="58">
        <v>202</v>
      </c>
      <c r="Q20" s="58">
        <v>207</v>
      </c>
      <c r="U20" s="58">
        <f>'[22]Servicer Recon'!$B$19</f>
        <v>195</v>
      </c>
      <c r="Y20" s="58">
        <f>'[23]Servicer Recon'!$B$19</f>
        <v>138</v>
      </c>
      <c r="AC20" s="58">
        <f>'[24]Servicer Recon'!$B$19</f>
        <v>132</v>
      </c>
      <c r="AG20" s="58">
        <f>'[25]Servicer Recon'!$B$19</f>
        <v>163</v>
      </c>
      <c r="AK20" s="58">
        <f>[26]Summary!$B$19</f>
        <v>124</v>
      </c>
      <c r="AO20" s="58">
        <f>[2]Summary!$B$19</f>
        <v>96</v>
      </c>
    </row>
    <row r="21" spans="1:46">
      <c r="A21" s="108"/>
      <c r="B21" s="1" t="s">
        <v>34</v>
      </c>
      <c r="E21" s="90">
        <f>'[21]Servicer Recon'!$B$20</f>
        <v>5361936.0300000031</v>
      </c>
      <c r="G21" s="142"/>
      <c r="I21" s="90">
        <v>6788964.3199999966</v>
      </c>
      <c r="K21" s="142"/>
      <c r="M21" s="90">
        <v>6436933.5200000005</v>
      </c>
      <c r="O21" s="142"/>
      <c r="Q21" s="90">
        <v>6374204.6800000016</v>
      </c>
      <c r="U21" s="90">
        <f>'[22]Servicer Recon'!$B$20</f>
        <v>5550930.8200000031</v>
      </c>
      <c r="Y21" s="90">
        <f>'[23]Servicer Recon'!$B$20</f>
        <v>9956977.629999999</v>
      </c>
      <c r="AC21" s="90">
        <f>'[24]Servicer Recon'!$B$20</f>
        <v>7715250.5100000016</v>
      </c>
      <c r="AG21" s="90">
        <f>'[25]Servicer Recon'!$B$20</f>
        <v>8519169.8800000008</v>
      </c>
      <c r="AK21" s="90">
        <f>[26]Summary!$B$20</f>
        <v>6899567.8700000001</v>
      </c>
      <c r="AO21" s="90">
        <f>[2]Summary!$B$20</f>
        <v>10394004.800000001</v>
      </c>
    </row>
    <row r="22" spans="1:46">
      <c r="A22" s="108"/>
      <c r="E22" s="57"/>
      <c r="G22" s="130"/>
      <c r="I22" s="57"/>
      <c r="K22" s="130"/>
      <c r="M22" s="57"/>
      <c r="O22" s="130"/>
      <c r="Q22" s="57"/>
      <c r="S22" s="130"/>
      <c r="U22" s="57"/>
      <c r="W22" s="130"/>
      <c r="Y22" s="57"/>
      <c r="AA22" s="130"/>
      <c r="AC22" s="57"/>
      <c r="AE22" s="130"/>
      <c r="AG22" s="57"/>
      <c r="AI22" s="130"/>
      <c r="AK22" s="57"/>
      <c r="AM22" s="130"/>
      <c r="AN22" s="131"/>
      <c r="AO22" s="57"/>
      <c r="AQ22" s="130"/>
      <c r="AR22" s="131"/>
      <c r="AS22" s="131"/>
      <c r="AT22" s="131"/>
    </row>
    <row r="23" spans="1:46">
      <c r="A23" s="155">
        <f>SUM(E23:AO23)</f>
        <v>2624291.5963699999</v>
      </c>
      <c r="B23" s="1" t="s">
        <v>35</v>
      </c>
      <c r="E23" s="90">
        <f>'[1]17 Mar 14'!H15</f>
        <v>879634.18363818177</v>
      </c>
      <c r="G23" s="130"/>
      <c r="I23" s="90">
        <v>697223.58909090899</v>
      </c>
      <c r="K23" s="130"/>
      <c r="M23" s="90">
        <v>452821.35818181816</v>
      </c>
      <c r="O23" s="130"/>
      <c r="Q23" s="90">
        <v>0</v>
      </c>
      <c r="S23" s="130"/>
      <c r="U23" s="90">
        <f>'[22]Servicer Recon'!$C$16</f>
        <v>202949.56545454546</v>
      </c>
      <c r="W23" s="130"/>
      <c r="Y23" s="90">
        <f>'[1]17 Dec 12'!H15</f>
        <v>194649.30545454542</v>
      </c>
      <c r="AA23" s="130"/>
      <c r="AC23" s="90">
        <f>'[1]15 Sep 12'!H15</f>
        <v>75560.320000000022</v>
      </c>
      <c r="AE23" s="130"/>
      <c r="AG23" s="90">
        <f>'[1]15 Jun 12'!$H15</f>
        <v>121453.27455</v>
      </c>
      <c r="AI23" s="130"/>
      <c r="AK23" s="90">
        <f>'[1]15 Mar 12'!H15</f>
        <v>0</v>
      </c>
      <c r="AM23" s="130"/>
      <c r="AN23" s="131"/>
      <c r="AO23" s="90">
        <v>0</v>
      </c>
      <c r="AQ23" s="130"/>
      <c r="AR23" s="131"/>
      <c r="AS23" s="131"/>
      <c r="AT23" s="131"/>
    </row>
    <row r="24" spans="1:46">
      <c r="B24" s="1" t="s">
        <v>36</v>
      </c>
      <c r="E24" s="90">
        <v>0</v>
      </c>
      <c r="G24" s="130"/>
      <c r="I24" s="90">
        <v>0</v>
      </c>
      <c r="K24" s="130"/>
      <c r="M24" s="90">
        <v>0</v>
      </c>
      <c r="O24" s="130"/>
      <c r="Q24" s="90">
        <v>0</v>
      </c>
      <c r="S24" s="130"/>
      <c r="U24" s="90">
        <v>0</v>
      </c>
      <c r="W24" s="130"/>
      <c r="Y24" s="90">
        <v>0</v>
      </c>
      <c r="AA24" s="130"/>
      <c r="AC24" s="90">
        <v>0</v>
      </c>
      <c r="AE24" s="130"/>
      <c r="AG24" s="90">
        <v>0</v>
      </c>
      <c r="AI24" s="130"/>
      <c r="AK24" s="90">
        <v>0</v>
      </c>
      <c r="AM24" s="130"/>
      <c r="AN24" s="131"/>
      <c r="AO24" s="90">
        <v>0</v>
      </c>
      <c r="AQ24" s="130"/>
      <c r="AR24" s="131"/>
      <c r="AS24" s="131"/>
      <c r="AT24" s="131"/>
    </row>
    <row r="25" spans="1:46">
      <c r="A25" s="53"/>
      <c r="E25" s="5"/>
      <c r="G25" s="130"/>
      <c r="I25" s="5"/>
      <c r="K25" s="130"/>
      <c r="M25" s="5"/>
      <c r="O25" s="130"/>
      <c r="Q25" s="5"/>
      <c r="S25" s="130"/>
      <c r="U25" s="5"/>
      <c r="W25" s="130"/>
      <c r="Y25" s="5"/>
      <c r="AA25" s="130"/>
      <c r="AC25" s="5"/>
      <c r="AE25" s="130"/>
      <c r="AG25" s="5"/>
      <c r="AI25" s="130"/>
      <c r="AK25" s="5"/>
      <c r="AM25" s="130"/>
      <c r="AN25" s="131"/>
      <c r="AO25" s="5"/>
      <c r="AQ25" s="130"/>
      <c r="AR25" s="131"/>
      <c r="AS25" s="131"/>
      <c r="AT25" s="131"/>
    </row>
    <row r="26" spans="1:46">
      <c r="A26" s="48"/>
      <c r="B26" s="1" t="s">
        <v>37</v>
      </c>
      <c r="E26" s="59">
        <f>'[27]Base Table'!$W$2162</f>
        <v>57.534538760547086</v>
      </c>
      <c r="G26" s="130"/>
      <c r="I26" s="59">
        <v>57.100414857492261</v>
      </c>
      <c r="K26" s="130"/>
      <c r="M26" s="59">
        <v>56.956799387469147</v>
      </c>
      <c r="O26" s="130"/>
      <c r="Q26" s="59">
        <v>56.62071099205663</v>
      </c>
      <c r="S26" s="130"/>
      <c r="U26" s="59">
        <f>'[28]Base Table'!$BZ$3027</f>
        <v>56.282418712312719</v>
      </c>
      <c r="W26" s="130"/>
      <c r="Y26" s="59">
        <f>'[29]Base Table'!$T$3225</f>
        <v>55.948801500518279</v>
      </c>
      <c r="AA26" s="130"/>
      <c r="AC26" s="59">
        <f>'[30](1__2011_1_Base_Table___All_Loa'!$V$3371</f>
        <v>54.691105552590116</v>
      </c>
      <c r="AE26" s="130"/>
      <c r="AG26" s="59">
        <f>'[31](1__2011_1_Base_Table___All_Loa'!$V$3509</f>
        <v>54.079274295741733</v>
      </c>
      <c r="AI26" s="130"/>
      <c r="AK26" s="59">
        <f>'[32](1__2011_1_Base_Table___All_Loa'!$V$3675</f>
        <v>53.621939535395605</v>
      </c>
      <c r="AM26" s="130"/>
      <c r="AN26" s="131"/>
      <c r="AO26" s="59">
        <f>[33]_2011_1_Monthly_Base_Table!$V$3800</f>
        <v>53.377502136154227</v>
      </c>
      <c r="AQ26" s="130"/>
      <c r="AR26" s="131"/>
      <c r="AS26" s="131"/>
      <c r="AT26" s="131"/>
    </row>
    <row r="27" spans="1:46">
      <c r="A27" s="48"/>
      <c r="B27" s="1" t="s">
        <v>38</v>
      </c>
      <c r="E27" s="59">
        <f>'[27]Base Table'!$X$2162</f>
        <v>17.647016927040287</v>
      </c>
      <c r="I27" s="59">
        <v>19.902301740731843</v>
      </c>
      <c r="M27" s="59">
        <v>22.540327081338027</v>
      </c>
      <c r="Q27" s="59">
        <v>25.136518626697047</v>
      </c>
      <c r="U27" s="59">
        <f>'[28]Base Table'!$CA$3027</f>
        <v>27.47823493745911</v>
      </c>
      <c r="Y27" s="59">
        <f>'[29]Base Table'!$U$3225</f>
        <v>29.712256758038954</v>
      </c>
      <c r="AC27" s="59">
        <f>'[30](1__2011_1_Base_Table___All_Loa'!$W$3371</f>
        <v>31.486266843867927</v>
      </c>
      <c r="AG27" s="59">
        <f>'[31](1__2011_1_Base_Table___All_Loa'!$W$3509</f>
        <v>33.683054827833743</v>
      </c>
      <c r="AK27" s="59">
        <f>'[32](1__2011_1_Base_Table___All_Loa'!$W$3675</f>
        <v>36.057791104160572</v>
      </c>
      <c r="AO27" s="59">
        <f>[33]_2011_1_Monthly_Base_Table!$W$3800</f>
        <v>38.435496138997486</v>
      </c>
    </row>
    <row r="28" spans="1:46">
      <c r="A28" s="48"/>
      <c r="B28" s="1" t="s">
        <v>112</v>
      </c>
      <c r="E28" s="60">
        <f>'[27]Base Table'!$AI$2162</f>
        <v>4.9438460713087315E-2</v>
      </c>
      <c r="I28" s="60">
        <v>4.394145160644105E-2</v>
      </c>
      <c r="M28" s="60">
        <v>4.4656606293222698E-2</v>
      </c>
      <c r="Q28" s="60">
        <v>4.4994963134826149E-2</v>
      </c>
      <c r="U28" s="60">
        <f>'[28]Base Table'!$CB$3027</f>
        <v>4.1902289662811593E-2</v>
      </c>
      <c r="Y28" s="60">
        <f>'[29]Base Table'!$AF$3225</f>
        <v>3.9356114245802036E-2</v>
      </c>
      <c r="AC28" s="60">
        <f>'[30](1__2011_1_Base_Table___All_Loa'!$AH$3371</f>
        <v>2.2851032687444397E-2</v>
      </c>
      <c r="AG28" s="60">
        <f>'[31](1__2011_1_Base_Table___All_Loa'!$AH$3509</f>
        <v>2.76162862578858E-2</v>
      </c>
      <c r="AK28" s="60">
        <f>'[32](1__2011_1_Base_Table___All_Loa'!$AH$3675</f>
        <v>2.8078260480700772E-2</v>
      </c>
      <c r="AO28" s="60">
        <f>[33]_2011_1_Monthly_Base_Table!$AH$3800</f>
        <v>2.8151595082255385E-2</v>
      </c>
    </row>
    <row r="29" spans="1:46">
      <c r="A29" s="48"/>
      <c r="B29" s="1" t="s">
        <v>39</v>
      </c>
      <c r="E29" s="59">
        <f>E26-E27</f>
        <v>39.887521833506796</v>
      </c>
      <c r="I29" s="59">
        <v>37.198113116760418</v>
      </c>
      <c r="M29" s="59">
        <v>34.416472306131119</v>
      </c>
      <c r="Q29" s="59">
        <v>31.484192365359583</v>
      </c>
      <c r="U29" s="59">
        <f>U26-U27</f>
        <v>28.804183774853609</v>
      </c>
      <c r="Y29" s="59">
        <f>Y26-Y27</f>
        <v>26.236544742479325</v>
      </c>
      <c r="AC29" s="59">
        <f>AC26-AC27</f>
        <v>23.204838708722189</v>
      </c>
      <c r="AG29" s="59">
        <f>AG26-AG27</f>
        <v>20.39621946790799</v>
      </c>
      <c r="AK29" s="59">
        <f>AK26-AK27</f>
        <v>17.564148431235033</v>
      </c>
      <c r="AO29" s="59">
        <f>AO26-AO27</f>
        <v>14.942005997156741</v>
      </c>
    </row>
    <row r="30" spans="1:46">
      <c r="A30" s="48"/>
      <c r="B30" s="1" t="s">
        <v>40</v>
      </c>
      <c r="E30" s="90">
        <f>E19/E18</f>
        <v>45842.010541917574</v>
      </c>
      <c r="I30" s="90">
        <v>51006.297304166634</v>
      </c>
      <c r="M30" s="90">
        <v>52987.898955281424</v>
      </c>
      <c r="Q30" s="90">
        <v>54992.493126780602</v>
      </c>
      <c r="U30" s="90">
        <f>U19/U18</f>
        <v>61112.084976851911</v>
      </c>
      <c r="Y30" s="90">
        <f>Y19/Y18</f>
        <v>66268.32285536929</v>
      </c>
      <c r="AC30" s="90">
        <f>AC19/AC18</f>
        <v>69187.595605700815</v>
      </c>
      <c r="AG30" s="90">
        <f>AG19/AG18</f>
        <v>72272.802027951984</v>
      </c>
      <c r="AK30" s="90">
        <f>AK19/AK18</f>
        <v>78834.740446623095</v>
      </c>
      <c r="AO30" s="90">
        <f>AO19/AO18</f>
        <v>85095.079088754297</v>
      </c>
    </row>
    <row r="31" spans="1:46">
      <c r="A31" s="48"/>
      <c r="B31" s="1" t="s">
        <v>41</v>
      </c>
      <c r="E31" s="60">
        <f>'[27]Base Table'!$AA$2162/100</f>
        <v>7.7546343396942885E-2</v>
      </c>
      <c r="I31" s="60">
        <v>7.7200803703384405E-2</v>
      </c>
      <c r="M31" s="60">
        <v>7.7376618189333057E-2</v>
      </c>
      <c r="Q31" s="60">
        <v>7.76387693888064E-2</v>
      </c>
      <c r="U31" s="60">
        <f>'[28]Base Table'!$BY$3027/100</f>
        <v>7.7504085809922948E-2</v>
      </c>
      <c r="Y31" s="60">
        <f>'[29]Base Table'!$X$3225/100</f>
        <v>7.715808595036186E-2</v>
      </c>
      <c r="AC31" s="60">
        <f>'[30](1__2011_1_Base_Table___All_Loa'!$Z$3371/100</f>
        <v>7.7104120754273114E-2</v>
      </c>
      <c r="AG31" s="60">
        <f>'[31](1__2011_1_Base_Table___All_Loa'!$Z$3509/100</f>
        <v>7.7055657645491354E-2</v>
      </c>
      <c r="AK31" s="60">
        <f>'[32](1__2011_1_Base_Table___All_Loa'!$Z$3675/100</f>
        <v>7.702060740332406E-2</v>
      </c>
      <c r="AO31" s="60">
        <f>[33]_2011_1_Monthly_Base_Table!$Z$3800/100</f>
        <v>7.6878286421666817E-2</v>
      </c>
    </row>
    <row r="32" spans="1:46">
      <c r="A32" s="48"/>
      <c r="B32" s="82"/>
      <c r="E32" s="61"/>
      <c r="F32" s="115"/>
      <c r="I32" s="61"/>
      <c r="J32" s="115"/>
      <c r="M32" s="61"/>
      <c r="N32" s="115"/>
      <c r="Q32" s="61"/>
      <c r="R32" s="115"/>
      <c r="U32" s="61"/>
      <c r="V32" s="115"/>
      <c r="Y32" s="61"/>
      <c r="Z32" s="115"/>
      <c r="AC32" s="61"/>
      <c r="AD32" s="115"/>
      <c r="AG32" s="61"/>
      <c r="AH32" s="115"/>
      <c r="AK32" s="61"/>
      <c r="AL32" s="115"/>
      <c r="AO32" s="61"/>
      <c r="AP32" s="115"/>
    </row>
    <row r="33" spans="1:44" ht="22.5">
      <c r="A33" s="62"/>
      <c r="B33" s="63" t="s">
        <v>42</v>
      </c>
      <c r="C33" s="64"/>
      <c r="D33" s="64"/>
      <c r="E33" s="63"/>
      <c r="F33" s="116"/>
      <c r="G33" s="63"/>
      <c r="H33" s="64"/>
      <c r="I33" s="63"/>
      <c r="J33" s="116"/>
      <c r="K33" s="63"/>
      <c r="L33" s="64"/>
      <c r="M33" s="63"/>
      <c r="N33" s="116"/>
      <c r="O33" s="63"/>
      <c r="P33" s="64"/>
      <c r="Q33" s="63"/>
      <c r="R33" s="116"/>
      <c r="S33" s="63"/>
      <c r="T33" s="64"/>
      <c r="U33" s="63"/>
      <c r="V33" s="116"/>
      <c r="W33" s="63"/>
      <c r="X33" s="64"/>
      <c r="Y33" s="63"/>
      <c r="Z33" s="116"/>
      <c r="AA33" s="63"/>
      <c r="AB33" s="64"/>
      <c r="AC33" s="63"/>
      <c r="AD33" s="116"/>
      <c r="AE33" s="63"/>
      <c r="AF33" s="64"/>
      <c r="AG33" s="63"/>
      <c r="AH33" s="116"/>
      <c r="AI33" s="63"/>
      <c r="AJ33" s="64"/>
      <c r="AK33" s="63"/>
      <c r="AL33" s="116"/>
      <c r="AM33" s="63"/>
      <c r="AN33" s="64"/>
      <c r="AO33" s="63" t="s">
        <v>43</v>
      </c>
      <c r="AP33" s="116" t="s">
        <v>44</v>
      </c>
      <c r="AQ33" s="63" t="s">
        <v>45</v>
      </c>
      <c r="AR33" s="64"/>
    </row>
    <row r="34" spans="1:44">
      <c r="A34" s="122" t="s">
        <v>297</v>
      </c>
      <c r="B34" s="1" t="s">
        <v>231</v>
      </c>
      <c r="C34" s="8"/>
      <c r="D34" s="8"/>
      <c r="E34" s="58">
        <f>IFERROR(VLOOKUP($A34,[34]Arrears!$A$2:$D$7,3,0),0)</f>
        <v>2144</v>
      </c>
      <c r="F34" s="58">
        <f>IFERROR(VLOOKUP($A34,[34]Arrears!$A$2:$D$7,2,0),0)</f>
        <v>306983</v>
      </c>
      <c r="G34" s="85">
        <f>F34/F$50</f>
        <v>3.1016874077926114E-3</v>
      </c>
      <c r="H34" s="8"/>
      <c r="I34" s="58">
        <v>2382</v>
      </c>
      <c r="J34" s="58">
        <v>118903.27999999997</v>
      </c>
      <c r="K34" s="85">
        <v>9.7131209187549116E-4</v>
      </c>
      <c r="L34" s="8"/>
      <c r="M34" s="58">
        <v>2573</v>
      </c>
      <c r="N34" s="58">
        <v>185969.18000000002</v>
      </c>
      <c r="O34" s="85">
        <v>1.3529891220477584E-3</v>
      </c>
      <c r="P34" s="8"/>
      <c r="Q34" s="58">
        <v>2749</v>
      </c>
      <c r="R34" s="58">
        <v>441498.6500000002</v>
      </c>
      <c r="S34" s="85">
        <v>2.8590968515945611E-3</v>
      </c>
      <c r="T34" s="8"/>
      <c r="U34" s="58">
        <v>3012</v>
      </c>
      <c r="V34" s="58">
        <v>710402.61000000022</v>
      </c>
      <c r="W34" s="85">
        <f>V34/V$50</f>
        <v>3.8441087078743409E-3</v>
      </c>
      <c r="X34" s="8"/>
      <c r="Y34" s="58">
        <v>3210</v>
      </c>
      <c r="Z34" s="58">
        <v>261600.9</v>
      </c>
      <c r="AA34" s="77">
        <f>Z34/$Z$50</f>
        <v>1.2252020597877801E-3</v>
      </c>
      <c r="AB34" s="8"/>
      <c r="AC34" s="58">
        <v>3346</v>
      </c>
      <c r="AD34" s="58">
        <v>311672.40999999997</v>
      </c>
      <c r="AE34" s="77">
        <f>AD34/$AD$50</f>
        <v>1.3375130805295947E-3</v>
      </c>
      <c r="AF34" s="8"/>
      <c r="AG34" s="58">
        <v>3468</v>
      </c>
      <c r="AH34" s="58">
        <v>458530.59</v>
      </c>
      <c r="AI34" s="77">
        <f>AH34/$AH$50</f>
        <v>1.809595508478925E-3</v>
      </c>
      <c r="AJ34" s="85"/>
      <c r="AK34" s="58">
        <v>3662</v>
      </c>
      <c r="AL34" s="58">
        <v>809093.4</v>
      </c>
      <c r="AM34" s="77">
        <f>AL34/$AL$50</f>
        <v>2.794977678888515E-3</v>
      </c>
      <c r="AN34" s="85"/>
      <c r="AO34" s="58">
        <v>3793</v>
      </c>
      <c r="AP34" s="58">
        <v>88689.4</v>
      </c>
      <c r="AQ34" s="77">
        <f>AP34/$AP$50</f>
        <v>2.7449009241642522E-4</v>
      </c>
      <c r="AR34" s="85"/>
    </row>
    <row r="35" spans="1:44">
      <c r="A35" s="122" t="s">
        <v>298</v>
      </c>
      <c r="B35" s="67" t="s">
        <v>232</v>
      </c>
      <c r="C35" s="27"/>
      <c r="D35" s="27"/>
      <c r="E35" s="58">
        <f>IFERROR(VLOOKUP($A35,[34]Arrears!$A$2:$D$7,3,0),0)</f>
        <v>2</v>
      </c>
      <c r="F35" s="58">
        <f>IFERROR(VLOOKUP($A35,[34]Arrears!$A$2:$D$7,2,0),0)</f>
        <v>8256.419999999991</v>
      </c>
      <c r="G35" s="85">
        <f t="shared" ref="G35:G39" si="0">F35/F$50</f>
        <v>8.3421016627784097E-5</v>
      </c>
      <c r="H35" s="27"/>
      <c r="I35" s="58">
        <v>11</v>
      </c>
      <c r="J35" s="58">
        <v>205290.37999999998</v>
      </c>
      <c r="K35" s="85">
        <v>1.6770019165132746E-3</v>
      </c>
      <c r="L35" s="27"/>
      <c r="M35" s="58">
        <v>6</v>
      </c>
      <c r="N35" s="58">
        <v>170256.75</v>
      </c>
      <c r="O35" s="85">
        <v>1.2386758424444558E-3</v>
      </c>
      <c r="P35" s="27"/>
      <c r="Q35" s="58">
        <v>22</v>
      </c>
      <c r="R35" s="58">
        <v>541338.76</v>
      </c>
      <c r="S35" s="85">
        <v>3.5056504575089937E-3</v>
      </c>
      <c r="T35" s="27"/>
      <c r="U35" s="58">
        <v>8</v>
      </c>
      <c r="V35" s="58">
        <v>209790.15000000002</v>
      </c>
      <c r="W35" s="85">
        <f t="shared" ref="W35:W39" si="1">V35/V$50</f>
        <v>1.1352099937263238E-3</v>
      </c>
      <c r="X35" s="27"/>
      <c r="Y35" s="58">
        <v>7</v>
      </c>
      <c r="Z35" s="58">
        <v>71748.890000000014</v>
      </c>
      <c r="AA35" s="77">
        <f t="shared" ref="AA35:AA39" si="2">Z35/$Z$50</f>
        <v>3.360343478003588E-4</v>
      </c>
      <c r="AB35" s="27"/>
      <c r="AC35" s="58">
        <v>11</v>
      </c>
      <c r="AD35" s="58">
        <v>203884.43</v>
      </c>
      <c r="AE35" s="77">
        <f t="shared" ref="AE35:AE39" si="3">AD35/$AD$50</f>
        <v>8.7495101681063319E-4</v>
      </c>
      <c r="AF35" s="27"/>
      <c r="AG35" s="58">
        <v>23</v>
      </c>
      <c r="AH35" s="58">
        <v>424301.84</v>
      </c>
      <c r="AI35" s="77">
        <f t="shared" ref="AI35:AI39" si="4">AH35/$AH$50</f>
        <v>1.6745114080684203E-3</v>
      </c>
      <c r="AJ35" s="85"/>
      <c r="AK35" s="58">
        <v>7</v>
      </c>
      <c r="AL35" s="58">
        <v>114344.08</v>
      </c>
      <c r="AM35" s="77">
        <f t="shared" ref="AM35:AM39" si="5">AL35/$AL$50</f>
        <v>3.9499661140857486E-4</v>
      </c>
      <c r="AN35" s="66"/>
      <c r="AO35" s="58">
        <v>2</v>
      </c>
      <c r="AP35" s="58">
        <v>18129.449999999997</v>
      </c>
      <c r="AQ35" s="77">
        <f t="shared" ref="AQ35:AQ39" si="6">AP35/$AP$50</f>
        <v>5.6109911736452823E-5</v>
      </c>
      <c r="AR35" s="66"/>
    </row>
    <row r="36" spans="1:44">
      <c r="A36" s="122" t="s">
        <v>299</v>
      </c>
      <c r="B36" s="67" t="s">
        <v>233</v>
      </c>
      <c r="C36" s="27"/>
      <c r="D36" s="27"/>
      <c r="E36" s="58">
        <f>IFERROR(VLOOKUP($A36,[34]Arrears!$A$2:$D$7,3,0),0)</f>
        <v>8</v>
      </c>
      <c r="F36" s="58">
        <f>IFERROR(VLOOKUP($A36,[34]Arrears!$A$2:$D$7,2,0),0)</f>
        <v>236133.44999999998</v>
      </c>
      <c r="G36" s="85">
        <f t="shared" si="0"/>
        <v>2.3858394387429472E-3</v>
      </c>
      <c r="H36" s="27"/>
      <c r="I36" s="58">
        <v>2</v>
      </c>
      <c r="J36" s="58">
        <v>27367.069999999992</v>
      </c>
      <c r="K36" s="85">
        <v>2.2355956883782346E-4</v>
      </c>
      <c r="L36" s="27"/>
      <c r="M36" s="58">
        <v>6</v>
      </c>
      <c r="N36" s="58">
        <v>188262.28999999995</v>
      </c>
      <c r="O36" s="85">
        <v>1.3696722782871892E-3</v>
      </c>
      <c r="P36" s="27"/>
      <c r="Q36" s="58">
        <v>17</v>
      </c>
      <c r="R36" s="58">
        <v>621275.75000000012</v>
      </c>
      <c r="S36" s="85">
        <v>4.0233136404767018E-3</v>
      </c>
      <c r="T36" s="27"/>
      <c r="U36" s="58">
        <v>1</v>
      </c>
      <c r="V36" s="58">
        <v>90943.03</v>
      </c>
      <c r="W36" s="85">
        <f t="shared" si="1"/>
        <v>4.9210812097590312E-4</v>
      </c>
      <c r="X36" s="27"/>
      <c r="Y36" s="58">
        <v>4</v>
      </c>
      <c r="Z36" s="58">
        <v>52948.519999999982</v>
      </c>
      <c r="AA36" s="77">
        <f t="shared" si="2"/>
        <v>2.4798322852373386E-4</v>
      </c>
      <c r="AB36" s="27"/>
      <c r="AC36" s="58">
        <v>4</v>
      </c>
      <c r="AD36" s="58">
        <v>59733.27</v>
      </c>
      <c r="AE36" s="77">
        <f t="shared" si="3"/>
        <v>2.5633975740042576E-4</v>
      </c>
      <c r="AF36" s="27"/>
      <c r="AG36" s="58">
        <v>9</v>
      </c>
      <c r="AH36" s="58">
        <v>292179.98</v>
      </c>
      <c r="AI36" s="77">
        <f t="shared" si="4"/>
        <v>1.1530911808423994E-3</v>
      </c>
      <c r="AJ36" s="85"/>
      <c r="AK36" s="58">
        <v>1</v>
      </c>
      <c r="AL36" s="58">
        <v>11684.24</v>
      </c>
      <c r="AM36" s="77">
        <f t="shared" si="5"/>
        <v>4.0362694831988913E-5</v>
      </c>
      <c r="AN36" s="66"/>
      <c r="AO36" s="58">
        <v>1</v>
      </c>
      <c r="AP36" s="58">
        <v>26578.98</v>
      </c>
      <c r="AQ36" s="77">
        <f t="shared" si="6"/>
        <v>8.2260864055166882E-5</v>
      </c>
      <c r="AR36" s="66"/>
    </row>
    <row r="37" spans="1:44">
      <c r="A37" s="122" t="s">
        <v>300</v>
      </c>
      <c r="B37" s="1" t="s">
        <v>234</v>
      </c>
      <c r="E37" s="58">
        <f>IFERROR(VLOOKUP($A37,[34]Arrears!$A$2:$D$7,3,0),0)</f>
        <v>1</v>
      </c>
      <c r="F37" s="58">
        <f>IFERROR(VLOOKUP($A37,[34]Arrears!$A$2:$D$7,2,0),0)</f>
        <v>20315.739999999998</v>
      </c>
      <c r="G37" s="85">
        <f t="shared" si="0"/>
        <v>2.052656822624988E-4</v>
      </c>
      <c r="I37" s="58">
        <v>3</v>
      </c>
      <c r="J37" s="58">
        <v>45309.460000000021</v>
      </c>
      <c r="K37" s="85">
        <v>3.7012962446745726E-4</v>
      </c>
      <c r="M37" s="58">
        <v>2</v>
      </c>
      <c r="N37" s="58">
        <v>67035.010000000009</v>
      </c>
      <c r="O37" s="85">
        <v>4.8770252859297821E-4</v>
      </c>
      <c r="Q37" s="58">
        <v>14</v>
      </c>
      <c r="R37" s="58">
        <v>615021.66</v>
      </c>
      <c r="S37" s="85">
        <v>3.9828128393336196E-3</v>
      </c>
      <c r="U37" s="58">
        <v>0</v>
      </c>
      <c r="V37" s="58">
        <v>0</v>
      </c>
      <c r="W37" s="85">
        <f t="shared" si="1"/>
        <v>0</v>
      </c>
      <c r="Y37" s="58">
        <v>0</v>
      </c>
      <c r="Z37" s="58">
        <v>0</v>
      </c>
      <c r="AA37" s="77">
        <f t="shared" si="2"/>
        <v>0</v>
      </c>
      <c r="AC37" s="58">
        <v>0</v>
      </c>
      <c r="AD37" s="58">
        <v>0</v>
      </c>
      <c r="AE37" s="77">
        <f t="shared" si="3"/>
        <v>0</v>
      </c>
      <c r="AG37" s="58">
        <v>4</v>
      </c>
      <c r="AH37" s="58">
        <v>79173.789999999994</v>
      </c>
      <c r="AI37" s="77">
        <f t="shared" si="4"/>
        <v>3.1246014529424005E-4</v>
      </c>
      <c r="AJ37" s="85"/>
      <c r="AK37" s="58">
        <v>1</v>
      </c>
      <c r="AL37" s="58">
        <v>6282.6400000000403</v>
      </c>
      <c r="AM37" s="77">
        <f t="shared" si="5"/>
        <v>2.1703104443185731E-5</v>
      </c>
      <c r="AN37" s="66"/>
      <c r="AO37" s="58">
        <v>1</v>
      </c>
      <c r="AP37" s="58">
        <v>11759.71</v>
      </c>
      <c r="AQ37" s="77">
        <f t="shared" si="6"/>
        <v>3.639582503309707E-5</v>
      </c>
      <c r="AR37" s="66"/>
    </row>
    <row r="38" spans="1:44">
      <c r="A38" s="122" t="s">
        <v>301</v>
      </c>
      <c r="B38" s="5" t="s">
        <v>115</v>
      </c>
      <c r="E38" s="58">
        <f>IFERROR(VLOOKUP($A38,[34]Arrears!$A$2:$D$7,3,0),0)</f>
        <v>2</v>
      </c>
      <c r="F38" s="58">
        <f>IFERROR(VLOOKUP($A38,[34]Arrears!$A$2:$D$7,2,0),0)</f>
        <v>23596.679999999978</v>
      </c>
      <c r="G38" s="85">
        <f t="shared" si="0"/>
        <v>2.3841556445051255E-4</v>
      </c>
      <c r="I38" s="58">
        <v>1</v>
      </c>
      <c r="J38" s="58">
        <v>5757.2900000000027</v>
      </c>
      <c r="K38" s="85">
        <v>4.7030875796141624E-5</v>
      </c>
      <c r="M38" s="58">
        <v>5</v>
      </c>
      <c r="N38" s="58">
        <v>87134.369999999981</v>
      </c>
      <c r="O38" s="85">
        <v>6.3393221805077863E-4</v>
      </c>
      <c r="Q38" s="58">
        <v>4</v>
      </c>
      <c r="R38" s="58">
        <v>101388.47</v>
      </c>
      <c r="S38" s="85">
        <v>6.5658061551261714E-4</v>
      </c>
      <c r="U38" s="58">
        <v>3</v>
      </c>
      <c r="V38" s="58">
        <v>43972.85</v>
      </c>
      <c r="W38" s="85">
        <f t="shared" si="1"/>
        <v>2.3794453063038742E-4</v>
      </c>
      <c r="Y38" s="58">
        <v>1</v>
      </c>
      <c r="Z38" s="58">
        <v>8857.6399999999958</v>
      </c>
      <c r="AA38" s="77">
        <f t="shared" si="2"/>
        <v>4.1484562067097737E-5</v>
      </c>
      <c r="AC38" s="58">
        <v>5</v>
      </c>
      <c r="AD38" s="58">
        <v>65528.87</v>
      </c>
      <c r="AE38" s="77">
        <f t="shared" si="3"/>
        <v>2.8121103429502587E-4</v>
      </c>
      <c r="AG38" s="58">
        <v>2</v>
      </c>
      <c r="AH38" s="58">
        <v>42637.56</v>
      </c>
      <c r="AI38" s="77">
        <f t="shared" si="4"/>
        <v>1.6826955224187042E-4</v>
      </c>
      <c r="AJ38" s="85"/>
      <c r="AK38" s="58">
        <v>0</v>
      </c>
      <c r="AL38" s="58">
        <v>0</v>
      </c>
      <c r="AM38" s="77">
        <f t="shared" si="5"/>
        <v>0</v>
      </c>
      <c r="AN38" s="66"/>
      <c r="AO38" s="58">
        <v>0</v>
      </c>
      <c r="AP38" s="58">
        <v>0</v>
      </c>
      <c r="AQ38" s="77">
        <f t="shared" si="6"/>
        <v>0</v>
      </c>
      <c r="AR38" s="66"/>
    </row>
    <row r="39" spans="1:44" ht="13.5" thickBot="1">
      <c r="A39" s="122" t="s">
        <v>302</v>
      </c>
      <c r="B39" s="5" t="s">
        <v>114</v>
      </c>
      <c r="E39" s="58">
        <f>IFERROR(VLOOKUP($A39,[34]Arrears!$A$2:$D$7,3,0),0)</f>
        <v>2</v>
      </c>
      <c r="F39" s="58">
        <f>IFERROR(VLOOKUP($A39,[34]Arrears!$A$2:$D$7,2,0),0)</f>
        <v>50998.460000000028</v>
      </c>
      <c r="G39" s="85">
        <f t="shared" si="0"/>
        <v>5.1527700621472618E-4</v>
      </c>
      <c r="I39" s="58">
        <v>1</v>
      </c>
      <c r="J39" s="58">
        <v>41510.720000000001</v>
      </c>
      <c r="K39" s="85">
        <v>3.3909799862928762E-4</v>
      </c>
      <c r="M39" s="58">
        <v>2</v>
      </c>
      <c r="N39" s="58">
        <v>43995.869999999988</v>
      </c>
      <c r="O39" s="85">
        <v>3.2008493840230562E-4</v>
      </c>
      <c r="Q39" s="58">
        <v>2</v>
      </c>
      <c r="R39" s="58">
        <v>99071.489999999991</v>
      </c>
      <c r="S39" s="85">
        <v>6.4157610706574509E-4</v>
      </c>
      <c r="U39" s="58">
        <v>0</v>
      </c>
      <c r="V39" s="58">
        <v>0</v>
      </c>
      <c r="W39" s="85">
        <f t="shared" si="1"/>
        <v>0</v>
      </c>
      <c r="Y39" s="58">
        <v>0</v>
      </c>
      <c r="Z39" s="58">
        <v>0</v>
      </c>
      <c r="AA39" s="77">
        <f t="shared" si="2"/>
        <v>0</v>
      </c>
      <c r="AC39" s="58">
        <v>2</v>
      </c>
      <c r="AD39" s="58">
        <v>79793.179999999993</v>
      </c>
      <c r="AE39" s="77">
        <f t="shared" si="3"/>
        <v>3.4242499035141565E-4</v>
      </c>
      <c r="AG39" s="58">
        <v>0</v>
      </c>
      <c r="AH39" s="58">
        <v>0</v>
      </c>
      <c r="AI39" s="77">
        <f t="shared" si="4"/>
        <v>0</v>
      </c>
      <c r="AJ39" s="85"/>
      <c r="AK39" s="58">
        <v>1</v>
      </c>
      <c r="AL39" s="58">
        <v>26578.98</v>
      </c>
      <c r="AM39" s="77">
        <f t="shared" si="5"/>
        <v>9.1815921162654714E-5</v>
      </c>
      <c r="AN39" s="66"/>
      <c r="AO39" s="58">
        <v>0</v>
      </c>
      <c r="AP39" s="58">
        <v>0</v>
      </c>
      <c r="AQ39" s="77">
        <f t="shared" si="6"/>
        <v>0</v>
      </c>
      <c r="AR39" s="66"/>
    </row>
    <row r="40" spans="1:44" ht="13.5" thickBot="1">
      <c r="A40" s="48"/>
      <c r="B40" s="3" t="s">
        <v>46</v>
      </c>
      <c r="C40" s="55"/>
      <c r="D40" s="55"/>
      <c r="E40" s="68">
        <f>SUM(E34:E39)</f>
        <v>2159</v>
      </c>
      <c r="F40" s="68">
        <f>SUM(F34:F39)</f>
        <v>646283.75</v>
      </c>
      <c r="G40" s="138">
        <f>SUM(G34:G39)</f>
        <v>6.5299061160910806E-3</v>
      </c>
      <c r="H40" s="55"/>
      <c r="I40" s="68">
        <v>2400</v>
      </c>
      <c r="J40" s="68">
        <v>444138.19999999995</v>
      </c>
      <c r="K40" s="138">
        <v>3.6281320761194762E-3</v>
      </c>
      <c r="L40" s="55"/>
      <c r="M40" s="68">
        <v>2594</v>
      </c>
      <c r="N40" s="68">
        <v>742653.47</v>
      </c>
      <c r="O40" s="138">
        <v>5.4030569278254656E-3</v>
      </c>
      <c r="P40" s="55"/>
      <c r="Q40" s="68">
        <v>2808</v>
      </c>
      <c r="R40" s="68">
        <v>2419594.7800000003</v>
      </c>
      <c r="S40" s="138">
        <v>1.5669030511492238E-2</v>
      </c>
      <c r="T40" s="55"/>
      <c r="U40" s="68">
        <f>SUM(U34:U39)</f>
        <v>3024</v>
      </c>
      <c r="V40" s="68">
        <f>SUM(V34:V39)</f>
        <v>1055108.6400000004</v>
      </c>
      <c r="W40" s="138">
        <f>SUM(W34:W39)</f>
        <v>5.7093713532069545E-3</v>
      </c>
      <c r="X40" s="55"/>
      <c r="Y40" s="68">
        <f>SUM(Y34:Y39)</f>
        <v>3222</v>
      </c>
      <c r="Z40" s="68">
        <f>SUM(Z34:Z39)</f>
        <v>395155.95</v>
      </c>
      <c r="AA40" s="138">
        <f>SUM(AA34:AA39)</f>
        <v>1.8507041981789705E-3</v>
      </c>
      <c r="AB40" s="55"/>
      <c r="AC40" s="68">
        <f>SUM(AC34:AC39)</f>
        <v>3368</v>
      </c>
      <c r="AD40" s="68">
        <f>SUM(AD34:AD39)</f>
        <v>720612.15999999992</v>
      </c>
      <c r="AE40" s="138">
        <f>SUM(AE34:AE39)</f>
        <v>3.092439879387095E-3</v>
      </c>
      <c r="AF40" s="55"/>
      <c r="AG40" s="68">
        <f>SUM(AG34:AG39)</f>
        <v>3506</v>
      </c>
      <c r="AH40" s="68">
        <f>SUM(AH34:AH39)</f>
        <v>1296823.7600000002</v>
      </c>
      <c r="AI40" s="138">
        <f>SUM(AI34:AI39)</f>
        <v>5.1179277949258547E-3</v>
      </c>
      <c r="AJ40" s="69"/>
      <c r="AK40" s="68">
        <f>SUM(AK34:AK39)</f>
        <v>3672</v>
      </c>
      <c r="AL40" s="68">
        <f>SUM(AL34:AL39)</f>
        <v>967983.34</v>
      </c>
      <c r="AM40" s="138">
        <f>SUM(AM34:AM39)</f>
        <v>3.3438560107349187E-3</v>
      </c>
      <c r="AN40" s="69"/>
      <c r="AO40" s="68">
        <v>3797</v>
      </c>
      <c r="AP40" s="68">
        <v>145157.53999999998</v>
      </c>
      <c r="AQ40" s="137">
        <f>SUM(AQ34:AQ39)</f>
        <v>4.4925669324114199E-4</v>
      </c>
      <c r="AR40" s="69"/>
    </row>
    <row r="41" spans="1:44">
      <c r="A41" s="48"/>
      <c r="B41" s="1" t="s">
        <v>246</v>
      </c>
      <c r="E41" s="58"/>
      <c r="F41" s="118" t="s">
        <v>237</v>
      </c>
      <c r="G41" s="65">
        <f>SUM(G35:G39)</f>
        <v>3.4282187082984687E-3</v>
      </c>
      <c r="I41" s="58"/>
      <c r="J41" s="118" t="s">
        <v>237</v>
      </c>
      <c r="K41" s="65">
        <v>2.6568199842439849E-3</v>
      </c>
      <c r="M41" s="58"/>
      <c r="N41" s="118" t="s">
        <v>237</v>
      </c>
      <c r="O41" s="65">
        <v>4.0500678057777077E-3</v>
      </c>
      <c r="Q41" s="58"/>
      <c r="R41" s="118" t="s">
        <v>237</v>
      </c>
      <c r="S41" s="65">
        <v>1.2809933659897675E-2</v>
      </c>
      <c r="U41" s="58"/>
      <c r="V41" s="118" t="s">
        <v>237</v>
      </c>
      <c r="W41" s="65">
        <f>SUM(W35:W39)</f>
        <v>1.8652626453326143E-3</v>
      </c>
      <c r="Y41" s="58"/>
      <c r="Z41" s="118" t="s">
        <v>237</v>
      </c>
      <c r="AA41" s="65">
        <f>SUM(AA35:AA39)</f>
        <v>6.2550213839119044E-4</v>
      </c>
      <c r="AC41" s="58"/>
      <c r="AD41" s="118" t="s">
        <v>237</v>
      </c>
      <c r="AE41" s="65">
        <f>SUM(AE35:AE39)</f>
        <v>1.7549267988575007E-3</v>
      </c>
      <c r="AG41" s="58"/>
      <c r="AH41" s="118" t="s">
        <v>237</v>
      </c>
      <c r="AI41" s="65">
        <f>SUM(AI35:AI39)</f>
        <v>3.3083322864469297E-3</v>
      </c>
      <c r="AJ41" s="66"/>
      <c r="AK41" s="58"/>
      <c r="AL41" s="118" t="s">
        <v>237</v>
      </c>
      <c r="AM41" s="65">
        <f>SUM(AM35:AM39)</f>
        <v>5.4887833184640424E-4</v>
      </c>
      <c r="AN41" s="66"/>
      <c r="AO41" s="58"/>
      <c r="AP41" s="118" t="s">
        <v>237</v>
      </c>
      <c r="AQ41" s="65">
        <f>SUM(AQ35:AQ39)</f>
        <v>1.7476660082471677E-4</v>
      </c>
      <c r="AR41" s="66"/>
    </row>
    <row r="42" spans="1:44">
      <c r="A42" s="62"/>
      <c r="E42" s="5"/>
      <c r="F42" s="117"/>
      <c r="I42" s="5"/>
      <c r="J42" s="117"/>
      <c r="M42" s="5"/>
      <c r="N42" s="117"/>
      <c r="Q42" s="5"/>
      <c r="R42" s="117"/>
      <c r="U42" s="5"/>
      <c r="V42" s="117"/>
      <c r="Y42" s="5"/>
      <c r="Z42" s="117"/>
      <c r="AC42" s="5"/>
      <c r="AD42" s="117"/>
      <c r="AG42" s="5"/>
      <c r="AH42" s="117"/>
      <c r="AK42" s="5"/>
      <c r="AL42" s="117"/>
      <c r="AO42" s="5"/>
      <c r="AP42" s="117"/>
    </row>
    <row r="43" spans="1:44" ht="22.5">
      <c r="A43" s="81" t="s">
        <v>113</v>
      </c>
      <c r="B43" s="63" t="s">
        <v>47</v>
      </c>
      <c r="C43" s="64"/>
      <c r="D43" s="64"/>
      <c r="E43" s="63"/>
      <c r="F43" s="116"/>
      <c r="G43" s="63"/>
      <c r="H43" s="64"/>
      <c r="I43" s="63"/>
      <c r="J43" s="116"/>
      <c r="K43" s="63"/>
      <c r="L43" s="64"/>
      <c r="M43" s="63"/>
      <c r="N43" s="116"/>
      <c r="O43" s="63"/>
      <c r="P43" s="64"/>
      <c r="Q43" s="63"/>
      <c r="R43" s="116"/>
      <c r="S43" s="63"/>
      <c r="T43" s="64"/>
      <c r="U43" s="63"/>
      <c r="V43" s="116"/>
      <c r="W43" s="63"/>
      <c r="X43" s="64"/>
      <c r="Y43" s="63"/>
      <c r="Z43" s="116"/>
      <c r="AA43" s="63"/>
      <c r="AB43" s="64"/>
      <c r="AC43" s="63"/>
      <c r="AD43" s="116"/>
      <c r="AE43" s="63"/>
      <c r="AF43" s="64"/>
      <c r="AG43" s="63"/>
      <c r="AH43" s="116"/>
      <c r="AI43" s="63"/>
      <c r="AJ43" s="64"/>
      <c r="AK43" s="63"/>
      <c r="AL43" s="116"/>
      <c r="AM43" s="63"/>
      <c r="AN43" s="64"/>
      <c r="AO43" s="63" t="s">
        <v>43</v>
      </c>
      <c r="AP43" s="116" t="s">
        <v>48</v>
      </c>
      <c r="AQ43" s="63" t="s">
        <v>49</v>
      </c>
      <c r="AR43" s="64"/>
    </row>
    <row r="44" spans="1:44">
      <c r="A44" s="122" t="s">
        <v>297</v>
      </c>
      <c r="B44" s="1" t="s">
        <v>231</v>
      </c>
      <c r="C44" s="8"/>
      <c r="D44" s="8"/>
      <c r="E44" s="58">
        <f>E34</f>
        <v>2144</v>
      </c>
      <c r="F44" s="58">
        <f>VLOOKUP($A44,[34]Arrears!$A$2:$D$7,4,0)</f>
        <v>97671107.820000067</v>
      </c>
      <c r="G44" s="77">
        <f>F44/F$50</f>
        <v>0.98684697599035998</v>
      </c>
      <c r="H44" s="8"/>
      <c r="I44" s="58">
        <v>2382</v>
      </c>
      <c r="J44" s="58">
        <v>121248806.48999992</v>
      </c>
      <c r="K44" s="77">
        <v>0.99047252413229037</v>
      </c>
      <c r="L44" s="8"/>
      <c r="M44" s="58">
        <v>2573</v>
      </c>
      <c r="N44" s="58">
        <v>135307553.30000001</v>
      </c>
      <c r="O44" s="77">
        <v>0.98440853342364187</v>
      </c>
      <c r="P44" s="8"/>
      <c r="Q44" s="58">
        <v>2749</v>
      </c>
      <c r="R44" s="58">
        <v>148435000.75999999</v>
      </c>
      <c r="S44" s="77">
        <v>0.96124879054409818</v>
      </c>
      <c r="T44" s="8"/>
      <c r="U44" s="58">
        <f>U34</f>
        <v>3012</v>
      </c>
      <c r="V44" s="58">
        <f>VLOOKUP(B44,[35]Arrears!$A$2:$D$5,4,0)</f>
        <v>183655920.30000016</v>
      </c>
      <c r="W44" s="77">
        <f>V44/V$50</f>
        <v>0.99379325545820607</v>
      </c>
      <c r="X44" s="8"/>
      <c r="Y44" s="58">
        <f>Y34</f>
        <v>3210</v>
      </c>
      <c r="Z44" s="58">
        <f>VLOOKUP(B44,[36]Arrears!$A$2:$D$5,4,0)</f>
        <v>212868522.80999985</v>
      </c>
      <c r="AA44" s="77">
        <f>Z44/$Z$50</f>
        <v>0.99696504335724334</v>
      </c>
      <c r="AB44" s="8"/>
      <c r="AC44" s="58">
        <f>AC34</f>
        <v>3346</v>
      </c>
      <c r="AD44" s="58">
        <f>IFERROR(VLOOKUP(B44,'[37](908__ARREARS_REPORTING'!$A$2:$D$6,4,0),0)</f>
        <v>231616820.46000001</v>
      </c>
      <c r="AE44" s="77">
        <f>AD44/$AD$50</f>
        <v>0.99396198410993364</v>
      </c>
      <c r="AF44" s="8"/>
      <c r="AG44" s="58">
        <f>AG34</f>
        <v>3468</v>
      </c>
      <c r="AH44" s="58">
        <f>IFERROR(VLOOKUP($B34,'[38](908__ARREARS_REPORTING'!$A$1:$D$6,4,0),0)</f>
        <v>249824968.44</v>
      </c>
      <c r="AI44" s="77">
        <f>AH44/$AH$50</f>
        <v>0.98593670881350182</v>
      </c>
      <c r="AJ44" s="85"/>
      <c r="AK44" s="58">
        <f>AK34</f>
        <v>3662</v>
      </c>
      <c r="AL44" s="58">
        <f>VLOOKUP(B44,'[39](908__ARREARS_REPORTING'!$A$2:$D$6,4,0)</f>
        <v>288833437.5</v>
      </c>
      <c r="AM44" s="77">
        <f>AL44/$AL$50</f>
        <v>0.99776244711567397</v>
      </c>
      <c r="AN44" s="85"/>
      <c r="AO44" s="58">
        <v>3793</v>
      </c>
      <c r="AP44" s="58">
        <v>322883588.22000039</v>
      </c>
      <c r="AQ44" s="77">
        <v>0.99931159721742269</v>
      </c>
      <c r="AR44" s="85"/>
    </row>
    <row r="45" spans="1:44">
      <c r="A45" s="122" t="s">
        <v>298</v>
      </c>
      <c r="B45" s="67" t="s">
        <v>232</v>
      </c>
      <c r="C45" s="27"/>
      <c r="D45" s="27"/>
      <c r="E45" s="58">
        <f t="shared" ref="E45:E49" si="7">E35</f>
        <v>2</v>
      </c>
      <c r="F45" s="58">
        <f>VLOOKUP($A45,[34]Arrears!$A$2:$D$7,4,0)</f>
        <v>75256.81</v>
      </c>
      <c r="G45" s="77">
        <f t="shared" ref="G45:G49" si="8">F45/F$50</f>
        <v>7.6037793600180169E-4</v>
      </c>
      <c r="H45" s="27"/>
      <c r="I45" s="58">
        <v>11</v>
      </c>
      <c r="J45" s="58">
        <v>522680.97000000003</v>
      </c>
      <c r="K45" s="77">
        <v>4.2697421497052985E-3</v>
      </c>
      <c r="L45" s="27"/>
      <c r="M45" s="58">
        <v>6</v>
      </c>
      <c r="N45" s="58">
        <v>555001.51</v>
      </c>
      <c r="O45" s="77">
        <v>4.037825008155008E-3</v>
      </c>
      <c r="P45" s="27"/>
      <c r="Q45" s="58">
        <v>22</v>
      </c>
      <c r="R45" s="58">
        <v>1535091.04</v>
      </c>
      <c r="S45" s="77">
        <v>9.9410812680288344E-3</v>
      </c>
      <c r="T45" s="27"/>
      <c r="U45" s="58">
        <f t="shared" ref="U45:U49" si="9">U35</f>
        <v>8</v>
      </c>
      <c r="V45" s="58">
        <f>VLOOKUP(B45,[35]Arrears!$A$2:$D$5,4,0)</f>
        <v>677701.89</v>
      </c>
      <c r="W45" s="77">
        <f t="shared" ref="W45:W49" si="10">V45/V$50</f>
        <v>3.6671595796810177E-3</v>
      </c>
      <c r="X45" s="27"/>
      <c r="Y45" s="58">
        <f t="shared" ref="Y45:Y49" si="11">Y35</f>
        <v>7</v>
      </c>
      <c r="Z45" s="58">
        <f>VLOOKUP(B45,[36]Arrears!$A$2:$D$5,4,0)</f>
        <v>280562.05999999994</v>
      </c>
      <c r="AA45" s="77">
        <f t="shared" ref="AA45:AA49" si="12">Z45/$Z$50</f>
        <v>1.3140062354919371E-3</v>
      </c>
      <c r="AB45" s="27"/>
      <c r="AC45" s="58">
        <f t="shared" ref="AC45:AC49" si="13">AC35</f>
        <v>11</v>
      </c>
      <c r="AD45" s="58">
        <f>IFERROR(VLOOKUP(B45,'[37](908__ARREARS_REPORTING'!$A$2:$D$6,4,0),0)</f>
        <v>651310.29</v>
      </c>
      <c r="AE45" s="77">
        <f t="shared" ref="AE45:AE49" si="14">AD45/$AD$50</f>
        <v>2.7950373674670913E-3</v>
      </c>
      <c r="AF45" s="27"/>
      <c r="AG45" s="58">
        <f t="shared" ref="AG45:AG49" si="15">AG35</f>
        <v>23</v>
      </c>
      <c r="AH45" s="58">
        <f>IFERROR(VLOOKUP($B35,'[38](908__ARREARS_REPORTING'!$A$1:$D$6,4,0),0)</f>
        <v>2087868.02</v>
      </c>
      <c r="AI45" s="77">
        <f t="shared" ref="AI45:AI49" si="16">AH45/$AH$50</f>
        <v>8.2397917907478888E-3</v>
      </c>
      <c r="AJ45" s="85"/>
      <c r="AK45" s="58">
        <f t="shared" ref="AK45:AK49" si="17">AK35</f>
        <v>7</v>
      </c>
      <c r="AL45" s="58">
        <f>VLOOKUP(B45,'[39](908__ARREARS_REPORTING'!$A$2:$D$6,4,0)</f>
        <v>396831.59</v>
      </c>
      <c r="AM45" s="77">
        <f t="shared" ref="AM45:AM49" si="18">AL45/$AL$50</f>
        <v>1.3708373301868967E-3</v>
      </c>
      <c r="AN45" s="66"/>
      <c r="AO45" s="58">
        <v>2</v>
      </c>
      <c r="AP45" s="58">
        <v>64340.800000000003</v>
      </c>
      <c r="AQ45" s="77">
        <v>1.9913216391301251E-4</v>
      </c>
      <c r="AR45" s="66"/>
    </row>
    <row r="46" spans="1:44">
      <c r="A46" s="122" t="s">
        <v>299</v>
      </c>
      <c r="B46" s="67" t="s">
        <v>233</v>
      </c>
      <c r="C46" s="27"/>
      <c r="D46" s="27"/>
      <c r="E46" s="58">
        <f t="shared" si="7"/>
        <v>8</v>
      </c>
      <c r="F46" s="58">
        <f>VLOOKUP($A46,[34]Arrears!$A$2:$D$7,4,0)</f>
        <v>710594.12</v>
      </c>
      <c r="G46" s="77">
        <f t="shared" si="8"/>
        <v>7.179683676475479E-3</v>
      </c>
      <c r="H46" s="27"/>
      <c r="I46" s="58">
        <v>2</v>
      </c>
      <c r="J46" s="58">
        <v>106384.12</v>
      </c>
      <c r="K46" s="77">
        <v>8.690440006325587E-4</v>
      </c>
      <c r="L46" s="27"/>
      <c r="M46" s="58">
        <v>6</v>
      </c>
      <c r="N46" s="58">
        <v>924057.7</v>
      </c>
      <c r="O46" s="77">
        <v>6.7228344838885174E-3</v>
      </c>
      <c r="P46" s="27"/>
      <c r="Q46" s="58">
        <v>17</v>
      </c>
      <c r="R46" s="58">
        <v>2090180.0899999999</v>
      </c>
      <c r="S46" s="77">
        <v>1.3535777095999351E-2</v>
      </c>
      <c r="T46" s="27"/>
      <c r="U46" s="58">
        <f t="shared" si="9"/>
        <v>1</v>
      </c>
      <c r="V46" s="58">
        <f>VLOOKUP(B46,[35]Arrears!$A$2:$D$5,4,0)</f>
        <v>299214.67000000004</v>
      </c>
      <c r="W46" s="77">
        <f t="shared" si="10"/>
        <v>1.6191012001923067E-3</v>
      </c>
      <c r="X46" s="27"/>
      <c r="Y46" s="58">
        <f t="shared" si="11"/>
        <v>4</v>
      </c>
      <c r="Z46" s="58">
        <f>VLOOKUP(B46,[36]Arrears!$A$2:$D$5,4,0)</f>
        <v>354713.89</v>
      </c>
      <c r="AA46" s="77">
        <f t="shared" si="12"/>
        <v>1.6612946999163079E-3</v>
      </c>
      <c r="AB46" s="27"/>
      <c r="AC46" s="58">
        <f t="shared" si="13"/>
        <v>4</v>
      </c>
      <c r="AD46" s="58">
        <f>IFERROR(VLOOKUP(B46,'[37](908__ARREARS_REPORTING'!$A$2:$D$6,4,0),0)</f>
        <v>235344.69</v>
      </c>
      <c r="AE46" s="77">
        <f t="shared" si="14"/>
        <v>1.0099597885747493E-3</v>
      </c>
      <c r="AF46" s="27"/>
      <c r="AG46" s="58">
        <f t="shared" si="15"/>
        <v>9</v>
      </c>
      <c r="AH46" s="58">
        <f>IFERROR(VLOOKUP($B36,'[38](908__ARREARS_REPORTING'!$A$1:$D$6,4,0),0)</f>
        <v>1048759.28</v>
      </c>
      <c r="AI46" s="77">
        <f t="shared" si="16"/>
        <v>4.1389388711527211E-3</v>
      </c>
      <c r="AJ46" s="85"/>
      <c r="AK46" s="58">
        <f t="shared" si="17"/>
        <v>1</v>
      </c>
      <c r="AL46" s="58">
        <f>VLOOKUP(B46,'[39](908__ARREARS_REPORTING'!$A$2:$D$6,4,0)</f>
        <v>75733.52</v>
      </c>
      <c r="AM46" s="77">
        <f t="shared" si="18"/>
        <v>2.6161812461164178E-4</v>
      </c>
      <c r="AN46" s="66"/>
      <c r="AO46" s="58">
        <v>1</v>
      </c>
      <c r="AP46" s="58">
        <v>106129.53</v>
      </c>
      <c r="AQ46" s="77">
        <v>3.2846658673766846E-4</v>
      </c>
      <c r="AR46" s="66"/>
    </row>
    <row r="47" spans="1:44">
      <c r="A47" s="122" t="s">
        <v>300</v>
      </c>
      <c r="B47" s="1" t="s">
        <v>234</v>
      </c>
      <c r="E47" s="58">
        <f t="shared" si="7"/>
        <v>1</v>
      </c>
      <c r="F47" s="58">
        <f>VLOOKUP($A47,[34]Arrears!$A$2:$D$7,4,0)</f>
        <v>220600.94</v>
      </c>
      <c r="G47" s="77">
        <f t="shared" si="8"/>
        <v>2.2289024400218038E-3</v>
      </c>
      <c r="I47" s="58">
        <v>3</v>
      </c>
      <c r="J47" s="58">
        <v>222449.77999999991</v>
      </c>
      <c r="K47" s="77">
        <v>1.8171757847978858E-3</v>
      </c>
      <c r="M47" s="58">
        <v>2</v>
      </c>
      <c r="N47" s="58">
        <v>246243.34</v>
      </c>
      <c r="O47" s="77">
        <v>1.7915041642744655E-3</v>
      </c>
      <c r="Q47" s="58">
        <v>14</v>
      </c>
      <c r="R47" s="58">
        <v>1639213.04</v>
      </c>
      <c r="S47" s="77">
        <v>1.0615363924117882E-2</v>
      </c>
      <c r="U47" s="58">
        <f t="shared" si="9"/>
        <v>0</v>
      </c>
      <c r="V47" s="58">
        <v>0</v>
      </c>
      <c r="W47" s="77">
        <f t="shared" si="10"/>
        <v>0</v>
      </c>
      <c r="Y47" s="58">
        <f t="shared" si="11"/>
        <v>0</v>
      </c>
      <c r="Z47" s="58">
        <v>0</v>
      </c>
      <c r="AA47" s="77">
        <f t="shared" si="12"/>
        <v>0</v>
      </c>
      <c r="AC47" s="58">
        <f t="shared" si="13"/>
        <v>0</v>
      </c>
      <c r="AD47" s="58">
        <f>IFERROR(VLOOKUP(B47,'[37](908__ARREARS_REPORTING'!$A$2:$D$6,4,0),0)</f>
        <v>0</v>
      </c>
      <c r="AE47" s="77">
        <f t="shared" si="14"/>
        <v>0</v>
      </c>
      <c r="AG47" s="58">
        <f t="shared" si="15"/>
        <v>4</v>
      </c>
      <c r="AH47" s="58">
        <f>IFERROR(VLOOKUP($B37,'[38](908__ARREARS_REPORTING'!$A$1:$D$6,4,0),0)</f>
        <v>342186.2</v>
      </c>
      <c r="AI47" s="77">
        <f t="shared" si="16"/>
        <v>1.350441222653152E-3</v>
      </c>
      <c r="AJ47" s="85"/>
      <c r="AK47" s="58">
        <f t="shared" si="17"/>
        <v>1</v>
      </c>
      <c r="AL47" s="58">
        <f>VLOOKUP(B47,'[39](908__ARREARS_REPORTING'!$A$2:$D$6,4,0)</f>
        <v>69034.78</v>
      </c>
      <c r="AM47" s="77">
        <f t="shared" si="18"/>
        <v>2.3847762096066937E-4</v>
      </c>
      <c r="AN47" s="66"/>
      <c r="AO47" s="58">
        <v>1</v>
      </c>
      <c r="AP47" s="58">
        <v>51956.75</v>
      </c>
      <c r="AQ47" s="77">
        <v>1.6080403192666882E-4</v>
      </c>
      <c r="AR47" s="66"/>
    </row>
    <row r="48" spans="1:44">
      <c r="A48" s="122" t="s">
        <v>301</v>
      </c>
      <c r="B48" s="5" t="s">
        <v>115</v>
      </c>
      <c r="E48" s="58">
        <f t="shared" si="7"/>
        <v>2</v>
      </c>
      <c r="F48" s="58">
        <f>VLOOKUP($A48,[34]Arrears!$A$2:$D$7,4,0)</f>
        <v>90846.739999999947</v>
      </c>
      <c r="G48" s="77">
        <f t="shared" si="8"/>
        <v>9.1789509352963906E-4</v>
      </c>
      <c r="I48" s="58">
        <v>1</v>
      </c>
      <c r="J48" s="58">
        <v>14788.840000000002</v>
      </c>
      <c r="K48" s="77">
        <v>1.2080893913786016E-4</v>
      </c>
      <c r="M48" s="58">
        <v>5</v>
      </c>
      <c r="N48" s="58">
        <v>257919.75999999995</v>
      </c>
      <c r="O48" s="77">
        <v>1.8764540965399131E-3</v>
      </c>
      <c r="Q48" s="58">
        <v>4</v>
      </c>
      <c r="R48" s="58">
        <v>405625.06</v>
      </c>
      <c r="S48" s="77">
        <v>2.6267834159263105E-3</v>
      </c>
      <c r="U48" s="58">
        <f t="shared" si="9"/>
        <v>3</v>
      </c>
      <c r="V48" s="58">
        <f>VLOOKUP(B48,[35]Arrears!$A$2:$D$5,4,0)</f>
        <v>170108.11</v>
      </c>
      <c r="W48" s="77">
        <f t="shared" si="10"/>
        <v>9.2048376192064663E-4</v>
      </c>
      <c r="Y48" s="58">
        <f t="shared" si="11"/>
        <v>1</v>
      </c>
      <c r="Z48" s="58">
        <f>VLOOKUP(B48,[36]Arrears!$A$2:$D$5,4,0)</f>
        <v>12737.480000000003</v>
      </c>
      <c r="AA48" s="77">
        <f t="shared" si="12"/>
        <v>5.9655707348505517E-5</v>
      </c>
      <c r="AC48" s="58">
        <f t="shared" si="13"/>
        <v>5</v>
      </c>
      <c r="AD48" s="58">
        <f>IFERROR(VLOOKUP(B48,'[37](908__ARREARS_REPORTING'!$A$2:$D$6,4,0),0)</f>
        <v>244382.72</v>
      </c>
      <c r="AE48" s="77">
        <f t="shared" si="14"/>
        <v>1.0487456514209951E-3</v>
      </c>
      <c r="AG48" s="58">
        <f t="shared" si="15"/>
        <v>2</v>
      </c>
      <c r="AH48" s="58">
        <f>IFERROR(VLOOKUP($B38,'[38](908__ARREARS_REPORTING'!$A$1:$D$6,4,0),0)</f>
        <v>84661.97</v>
      </c>
      <c r="AI48" s="77">
        <f t="shared" si="16"/>
        <v>3.341193019444515E-4</v>
      </c>
      <c r="AJ48" s="85"/>
      <c r="AK48" s="58">
        <f t="shared" si="17"/>
        <v>0</v>
      </c>
      <c r="AL48" s="58">
        <v>0</v>
      </c>
      <c r="AM48" s="77">
        <f t="shared" si="18"/>
        <v>0</v>
      </c>
      <c r="AN48" s="66"/>
      <c r="AO48" s="58">
        <v>0</v>
      </c>
      <c r="AP48" s="58">
        <v>0</v>
      </c>
      <c r="AQ48" s="77">
        <v>0</v>
      </c>
      <c r="AR48" s="66"/>
    </row>
    <row r="49" spans="1:44" ht="13.5" thickBot="1">
      <c r="A49" s="122" t="s">
        <v>302</v>
      </c>
      <c r="B49" s="5" t="s">
        <v>114</v>
      </c>
      <c r="E49" s="58">
        <f t="shared" si="7"/>
        <v>2</v>
      </c>
      <c r="F49" s="58">
        <f>VLOOKUP($A49,[34]Arrears!$A$2:$D$7,4,0)</f>
        <v>204494.33000000002</v>
      </c>
      <c r="G49" s="77">
        <f t="shared" si="8"/>
        <v>2.0661648636112976E-3</v>
      </c>
      <c r="I49" s="58">
        <v>1</v>
      </c>
      <c r="J49" s="58">
        <v>300003.33</v>
      </c>
      <c r="K49" s="77">
        <v>2.4507049934359539E-3</v>
      </c>
      <c r="M49" s="58">
        <v>2</v>
      </c>
      <c r="N49" s="58">
        <v>159834.28</v>
      </c>
      <c r="O49" s="77">
        <v>1.1628488235004078E-3</v>
      </c>
      <c r="Q49" s="58">
        <v>2</v>
      </c>
      <c r="R49" s="58">
        <v>313810.71000000002</v>
      </c>
      <c r="S49" s="77">
        <v>2.0322037518294869E-3</v>
      </c>
      <c r="U49" s="58">
        <f t="shared" si="9"/>
        <v>0</v>
      </c>
      <c r="V49" s="58">
        <v>0</v>
      </c>
      <c r="W49" s="77">
        <f t="shared" si="10"/>
        <v>0</v>
      </c>
      <c r="Y49" s="58">
        <f t="shared" si="11"/>
        <v>0</v>
      </c>
      <c r="Z49" s="58">
        <v>0</v>
      </c>
      <c r="AA49" s="77">
        <f t="shared" si="12"/>
        <v>0</v>
      </c>
      <c r="AC49" s="58">
        <f t="shared" si="13"/>
        <v>2</v>
      </c>
      <c r="AD49" s="58">
        <f>IFERROR(VLOOKUP(B49,'[37](908__ARREARS_REPORTING'!$A$2:$D$6,4,0),0)</f>
        <v>275963.84000000003</v>
      </c>
      <c r="AE49" s="77">
        <f t="shared" si="14"/>
        <v>1.1842730826035462E-3</v>
      </c>
      <c r="AG49" s="58">
        <f t="shared" si="15"/>
        <v>0</v>
      </c>
      <c r="AH49" s="58">
        <f>IFERROR(VLOOKUP($B39,'[38](908__ARREARS_REPORTING'!$A$1:$D$6,4,0),0)</f>
        <v>0</v>
      </c>
      <c r="AI49" s="77">
        <f t="shared" si="16"/>
        <v>0</v>
      </c>
      <c r="AJ49" s="85"/>
      <c r="AK49" s="58">
        <f t="shared" si="17"/>
        <v>1</v>
      </c>
      <c r="AL49" s="58">
        <f>VLOOKUP(B49,'[39](908__ARREARS_REPORTING'!$A$2:$D$6,4,0)</f>
        <v>106129.53</v>
      </c>
      <c r="AM49" s="77">
        <f t="shared" si="18"/>
        <v>3.6661980856713078E-4</v>
      </c>
      <c r="AN49" s="66"/>
      <c r="AO49" s="58">
        <v>0</v>
      </c>
      <c r="AP49" s="58">
        <v>0</v>
      </c>
      <c r="AQ49" s="77">
        <v>0</v>
      </c>
      <c r="AR49" s="66"/>
    </row>
    <row r="50" spans="1:44" ht="13.5" thickBot="1">
      <c r="A50" s="48"/>
      <c r="B50" s="3" t="s">
        <v>46</v>
      </c>
      <c r="C50" s="55"/>
      <c r="D50" s="55"/>
      <c r="E50" s="68">
        <f>SUM(E44:E49)</f>
        <v>2159</v>
      </c>
      <c r="F50" s="68">
        <f>SUM(F44:F49)</f>
        <v>98972900.760000065</v>
      </c>
      <c r="G50" s="138">
        <f>SUM(G44:G49)</f>
        <v>1</v>
      </c>
      <c r="H50" s="55"/>
      <c r="I50" s="68">
        <v>2400</v>
      </c>
      <c r="J50" s="68">
        <v>122415113.52999993</v>
      </c>
      <c r="K50" s="138">
        <v>1</v>
      </c>
      <c r="L50" s="55"/>
      <c r="M50" s="68">
        <v>2594</v>
      </c>
      <c r="N50" s="68">
        <v>137450609.88999999</v>
      </c>
      <c r="O50" s="138">
        <v>1.0000000000000002</v>
      </c>
      <c r="P50" s="55"/>
      <c r="Q50" s="68">
        <v>2808</v>
      </c>
      <c r="R50" s="68">
        <v>154418920.69999999</v>
      </c>
      <c r="S50" s="138">
        <v>1</v>
      </c>
      <c r="T50" s="55"/>
      <c r="U50" s="68">
        <f>SUM(U44:U49)</f>
        <v>3024</v>
      </c>
      <c r="V50" s="68">
        <f>SUM(V44:V49)</f>
        <v>184802944.97000015</v>
      </c>
      <c r="W50" s="138">
        <f>SUM(W44:W49)</f>
        <v>1</v>
      </c>
      <c r="X50" s="55"/>
      <c r="Y50" s="68">
        <f>SUM(Y44:Y49)</f>
        <v>3222</v>
      </c>
      <c r="Z50" s="68">
        <f>SUM(Z44:Z49)</f>
        <v>213516536.23999983</v>
      </c>
      <c r="AA50" s="138">
        <f>SUM(AA44:AA49)</f>
        <v>1</v>
      </c>
      <c r="AB50" s="55"/>
      <c r="AC50" s="68">
        <f>SUM(AC44:AC49)</f>
        <v>3368</v>
      </c>
      <c r="AD50" s="68">
        <f>SUM(AD44:AD49)</f>
        <v>233023822</v>
      </c>
      <c r="AE50" s="138">
        <f>SUM(AE44:AE49)</f>
        <v>1</v>
      </c>
      <c r="AF50" s="55"/>
      <c r="AG50" s="68">
        <f>SUM(AG44:AG49)</f>
        <v>3506</v>
      </c>
      <c r="AH50" s="68">
        <f>SUM(AH44:AH49)</f>
        <v>253388443.91</v>
      </c>
      <c r="AI50" s="138">
        <f>SUM(AI44:AI49)</f>
        <v>1</v>
      </c>
      <c r="AJ50" s="69"/>
      <c r="AK50" s="68">
        <f>SUM(AK44:AK49)</f>
        <v>3672</v>
      </c>
      <c r="AL50" s="68">
        <f>SUM(AL44:AL49)</f>
        <v>289481166.9199999</v>
      </c>
      <c r="AM50" s="138">
        <f>SUM(AM44:AM49)</f>
        <v>1.0000000000000004</v>
      </c>
      <c r="AN50" s="69"/>
      <c r="AO50" s="68">
        <v>3797</v>
      </c>
      <c r="AP50" s="68">
        <v>323106015.30000037</v>
      </c>
      <c r="AQ50" s="133">
        <v>1</v>
      </c>
      <c r="AR50" s="69"/>
    </row>
    <row r="51" spans="1:44">
      <c r="A51" s="48" t="s">
        <v>51</v>
      </c>
      <c r="F51" s="119" t="s">
        <v>237</v>
      </c>
      <c r="G51" s="65">
        <f>SUM(G45:G49)</f>
        <v>1.3153024009640021E-2</v>
      </c>
      <c r="J51" s="119" t="s">
        <v>237</v>
      </c>
      <c r="K51" s="65">
        <v>9.5274758677095575E-3</v>
      </c>
      <c r="N51" s="119" t="s">
        <v>237</v>
      </c>
      <c r="O51" s="65">
        <v>1.5591466576358312E-2</v>
      </c>
      <c r="R51" s="119" t="s">
        <v>237</v>
      </c>
      <c r="S51" s="65">
        <v>3.875120945590186E-2</v>
      </c>
      <c r="V51" s="119" t="s">
        <v>237</v>
      </c>
      <c r="W51" s="65">
        <f>SUM(W45:W49)</f>
        <v>6.2067445417939718E-3</v>
      </c>
      <c r="Z51" s="119" t="s">
        <v>237</v>
      </c>
      <c r="AA51" s="65">
        <f>SUM(AA45:AA49)</f>
        <v>3.0349566427567503E-3</v>
      </c>
      <c r="AD51" s="119" t="s">
        <v>237</v>
      </c>
      <c r="AE51" s="65">
        <f>SUM(AE45:AE49)</f>
        <v>6.0380158900663816E-3</v>
      </c>
      <c r="AH51" s="119" t="s">
        <v>237</v>
      </c>
      <c r="AI51" s="65">
        <f>SUM(AI45:AI49)</f>
        <v>1.4063291186498213E-2</v>
      </c>
      <c r="AJ51" s="66"/>
      <c r="AL51" s="119" t="s">
        <v>237</v>
      </c>
      <c r="AM51" s="65">
        <f>SUM(AM45:AM49)</f>
        <v>2.2375528843263386E-3</v>
      </c>
      <c r="AN51" s="66"/>
      <c r="AP51" s="119" t="s">
        <v>237</v>
      </c>
      <c r="AQ51" s="65">
        <v>6.8840278257734978E-4</v>
      </c>
      <c r="AR51" s="66"/>
    </row>
    <row r="52" spans="1:44">
      <c r="A52" s="48"/>
      <c r="F52" s="119" t="s">
        <v>238</v>
      </c>
      <c r="G52" s="65">
        <f>SUM(G47:G49)</f>
        <v>5.21296239716274E-3</v>
      </c>
      <c r="J52" s="119" t="s">
        <v>238</v>
      </c>
      <c r="K52" s="65">
        <v>4.3886897173716997E-3</v>
      </c>
      <c r="N52" s="119" t="s">
        <v>238</v>
      </c>
      <c r="O52" s="65">
        <v>4.8308070843147864E-3</v>
      </c>
      <c r="R52" s="119" t="s">
        <v>238</v>
      </c>
      <c r="S52" s="65">
        <v>1.5274351091873681E-2</v>
      </c>
      <c r="V52" s="119" t="s">
        <v>238</v>
      </c>
      <c r="W52" s="65">
        <f>SUM(W47:W49)</f>
        <v>9.2048376192064663E-4</v>
      </c>
      <c r="Z52" s="119" t="s">
        <v>238</v>
      </c>
      <c r="AA52" s="65">
        <f>SUM(AA47:AA49)</f>
        <v>5.9655707348505517E-5</v>
      </c>
      <c r="AD52" s="119" t="s">
        <v>238</v>
      </c>
      <c r="AE52" s="65">
        <f>SUM(AE47:AE49)</f>
        <v>2.2330187340245415E-3</v>
      </c>
      <c r="AH52" s="119" t="s">
        <v>238</v>
      </c>
      <c r="AI52" s="65">
        <f>SUM(AI47:AI49)</f>
        <v>1.6845605245976035E-3</v>
      </c>
      <c r="AJ52" s="66"/>
      <c r="AL52" s="119" t="s">
        <v>238</v>
      </c>
      <c r="AM52" s="65">
        <f>SUM(AM47:AM49)</f>
        <v>6.0509742952780012E-4</v>
      </c>
      <c r="AN52" s="66"/>
      <c r="AP52" s="119" t="s">
        <v>238</v>
      </c>
      <c r="AQ52" s="65">
        <v>1.6080403192666882E-4</v>
      </c>
      <c r="AR52" s="66"/>
    </row>
    <row r="53" spans="1:44">
      <c r="A53" s="48"/>
      <c r="F53" s="119"/>
      <c r="G53" s="65"/>
      <c r="J53" s="119"/>
      <c r="K53" s="65"/>
      <c r="N53" s="119"/>
      <c r="O53" s="65"/>
      <c r="R53" s="119"/>
      <c r="S53" s="65"/>
      <c r="V53" s="119"/>
      <c r="W53" s="65"/>
      <c r="Z53" s="119"/>
      <c r="AA53" s="65"/>
      <c r="AD53" s="119"/>
      <c r="AE53" s="65"/>
      <c r="AH53" s="119"/>
      <c r="AI53" s="65"/>
      <c r="AJ53" s="66"/>
      <c r="AL53" s="119"/>
      <c r="AM53" s="65"/>
      <c r="AN53" s="66"/>
      <c r="AP53" s="119"/>
      <c r="AQ53" s="65"/>
      <c r="AR53" s="66"/>
    </row>
    <row r="54" spans="1:44">
      <c r="A54" s="48" t="s">
        <v>53</v>
      </c>
      <c r="B54" s="70" t="s">
        <v>50</v>
      </c>
      <c r="C54" s="71"/>
      <c r="D54" s="71"/>
      <c r="H54" s="71"/>
      <c r="L54" s="71"/>
      <c r="P54" s="71"/>
      <c r="T54" s="71"/>
      <c r="X54" s="71"/>
      <c r="AB54" s="71"/>
      <c r="AF54" s="71"/>
    </row>
    <row r="55" spans="1:44">
      <c r="A55" s="48" t="s">
        <v>51</v>
      </c>
      <c r="B55" s="1" t="s">
        <v>52</v>
      </c>
      <c r="E55" s="65">
        <f t="shared" ref="E55:E62" si="19">F55/F$63</f>
        <v>0.35852727107641885</v>
      </c>
      <c r="F55" s="113">
        <f>IFERROR(VLOOKUP($A55,[34]Geographic!$A$2:$C$9,3,0),0)</f>
        <v>35484484.020000018</v>
      </c>
      <c r="I55" s="65">
        <v>0.3383320084071974</v>
      </c>
      <c r="J55" s="113">
        <v>41416951.220000006</v>
      </c>
      <c r="M55" s="65">
        <v>0.33841043628125894</v>
      </c>
      <c r="N55" s="113">
        <v>46514720.860000037</v>
      </c>
      <c r="Q55" s="65">
        <v>0.33707482874538669</v>
      </c>
      <c r="R55" s="113">
        <v>52050731.24999994</v>
      </c>
      <c r="U55" s="65">
        <f t="shared" ref="U55:U62" si="20">V55/V$63</f>
        <v>0.33694458911414171</v>
      </c>
      <c r="V55" s="113">
        <f>IFERROR(VLOOKUP(A55,'[35]Geographic Distribution'!$A$2:$C$9,3,0),0)</f>
        <v>62268352.360000014</v>
      </c>
      <c r="Y55" s="65">
        <f t="shared" ref="Y55:Y62" si="21">Z55/Z$63</f>
        <v>0.32740078778452941</v>
      </c>
      <c r="Z55" s="113">
        <f>VLOOKUP(A55,[29]Geographic!$A$5:$B$12,2,0)</f>
        <v>69905482.170000032</v>
      </c>
      <c r="AC55" s="65">
        <f t="shared" ref="AC55:AC62" si="22">AD55/AD$63</f>
        <v>0.33059622783974418</v>
      </c>
      <c r="AD55" s="113">
        <f>VLOOKUP($A55,'[37](900__GEOGRAPHIC_DISTRIBUTION'!$A$2:$C$9,3,FALSE)</f>
        <v>77036796.549999997</v>
      </c>
      <c r="AG55" s="65">
        <f t="shared" ref="AG55:AG62" si="23">AH55/AH$63</f>
        <v>0.33175301356622966</v>
      </c>
      <c r="AH55" s="113">
        <f>VLOOKUP($A55,'[38](900__GEOGRAPHIC_DISTRIBUTION'!$A$1:$C$9,3,FALSE)</f>
        <v>84062379.870000094</v>
      </c>
      <c r="AK55" s="65">
        <f>AL55/$AL$63</f>
        <v>0.33063851098973607</v>
      </c>
      <c r="AL55" s="113">
        <f>VLOOKUP(A55,'[39](900__GEOGRAPHIC_DISTRIBUTION'!$A$2:$C$9,3,0)</f>
        <v>95713621.989999995</v>
      </c>
      <c r="AO55" s="65">
        <v>0.32276706688103596</v>
      </c>
      <c r="AP55" s="113">
        <v>104287980.85000016</v>
      </c>
    </row>
    <row r="56" spans="1:44">
      <c r="A56" s="48" t="s">
        <v>53</v>
      </c>
      <c r="B56" s="1" t="s">
        <v>54</v>
      </c>
      <c r="E56" s="65">
        <f t="shared" si="19"/>
        <v>0.23023844027020307</v>
      </c>
      <c r="F56" s="113">
        <f>IFERROR(VLOOKUP($A56,[34]Geographic!$A$2:$C$9,3,0),0)</f>
        <v>22787366.299999993</v>
      </c>
      <c r="I56" s="65">
        <v>0.21278842496532388</v>
      </c>
      <c r="J56" s="113">
        <v>26048519.200000022</v>
      </c>
      <c r="M56" s="65">
        <v>0.21458196725066558</v>
      </c>
      <c r="N56" s="113">
        <v>29494422.27</v>
      </c>
      <c r="Q56" s="65">
        <v>0.21904048620901945</v>
      </c>
      <c r="R56" s="113">
        <v>33823995.470000014</v>
      </c>
      <c r="U56" s="65">
        <f t="shared" si="20"/>
        <v>0.22669325884823316</v>
      </c>
      <c r="V56" s="113">
        <f>IFERROR(VLOOKUP(A56,'[35]Geographic Distribution'!$A$2:$C$9,3,0),0)</f>
        <v>41893581.840000011</v>
      </c>
      <c r="Y56" s="65">
        <f t="shared" si="21"/>
        <v>0.21491585292682039</v>
      </c>
      <c r="Z56" s="113">
        <f>VLOOKUP(A56,[29]Geographic!$A$5:$B$12,2,0)</f>
        <v>45888088.499999955</v>
      </c>
      <c r="AC56" s="65">
        <f t="shared" si="22"/>
        <v>0.22010716282046047</v>
      </c>
      <c r="AD56" s="113">
        <f>VLOOKUP($A56,'[37](900__GEOGRAPHIC_DISTRIBUTION'!$A$2:$C$9,3,FALSE)</f>
        <v>51290212.329999998</v>
      </c>
      <c r="AG56" s="65">
        <f t="shared" si="23"/>
        <v>0.22518613244361974</v>
      </c>
      <c r="AH56" s="113">
        <f>VLOOKUP($A56,'[38](900__GEOGRAPHIC_DISTRIBUTION'!$A$1:$C$9,3,FALSE)</f>
        <v>57059563.689999998</v>
      </c>
      <c r="AK56" s="65">
        <f t="shared" ref="AK56:AK62" si="24">AL56/$AL$63</f>
        <v>0.23734719709412982</v>
      </c>
      <c r="AL56" s="113">
        <f>VLOOKUP(A56,'[39](900__GEOGRAPHIC_DISTRIBUTION'!$A$2:$C$9,3,0)</f>
        <v>68707543.579999894</v>
      </c>
      <c r="AO56" s="65">
        <v>0.2286079867978239</v>
      </c>
      <c r="AP56" s="113">
        <v>73864615.679999903</v>
      </c>
    </row>
    <row r="57" spans="1:44">
      <c r="A57" s="48" t="s">
        <v>55</v>
      </c>
      <c r="B57" s="1" t="s">
        <v>56</v>
      </c>
      <c r="E57" s="65">
        <f t="shared" si="19"/>
        <v>0.11447905379145122</v>
      </c>
      <c r="F57" s="113">
        <f>IFERROR(VLOOKUP($A57,[34]Geographic!$A$2:$C$9,3,0),0)</f>
        <v>11330324.030000003</v>
      </c>
      <c r="I57" s="65">
        <v>0.11183156666880881</v>
      </c>
      <c r="J57" s="113">
        <v>13689873.930000002</v>
      </c>
      <c r="M57" s="65">
        <v>0.11881800737784989</v>
      </c>
      <c r="N57" s="113">
        <v>16331607.579999993</v>
      </c>
      <c r="Q57" s="65">
        <v>0.12410686846615167</v>
      </c>
      <c r="R57" s="113">
        <v>19164448.680000003</v>
      </c>
      <c r="U57" s="65">
        <f t="shared" si="20"/>
        <v>0.11546541384101837</v>
      </c>
      <c r="V57" s="113">
        <f>IFERROR(VLOOKUP(A57,'[35]Geographic Distribution'!$A$2:$C$9,3,0),0)</f>
        <v>21338348.52</v>
      </c>
      <c r="Y57" s="65">
        <f t="shared" si="21"/>
        <v>0.11443814146804457</v>
      </c>
      <c r="Z57" s="113">
        <f>VLOOKUP(A57,[29]Geographic!$A$5:$B$12,2,0)</f>
        <v>24434435.579999987</v>
      </c>
      <c r="AC57" s="65">
        <f t="shared" si="22"/>
        <v>0.11837192460949336</v>
      </c>
      <c r="AD57" s="113">
        <f>VLOOKUP($A57,'[37](900__GEOGRAPHIC_DISTRIBUTION'!$A$2:$C$9,3,FALSE)</f>
        <v>27583478.289999999</v>
      </c>
      <c r="AG57" s="65">
        <f t="shared" si="23"/>
        <v>0.12593655640955068</v>
      </c>
      <c r="AH57" s="113">
        <f>VLOOKUP($A57,'[38](900__GEOGRAPHIC_DISTRIBUTION'!$A$1:$C$9,3,FALSE)</f>
        <v>31910868.059999999</v>
      </c>
      <c r="AK57" s="65">
        <f t="shared" si="24"/>
        <v>0.12023920609529377</v>
      </c>
      <c r="AL57" s="113">
        <f>VLOOKUP(A57,'[39](900__GEOGRAPHIC_DISTRIBUTION'!$A$2:$C$9,3,0)</f>
        <v>34806985.689999998</v>
      </c>
      <c r="AO57" s="65">
        <v>0.1201253794175339</v>
      </c>
      <c r="AP57" s="113">
        <v>38813232.680000022</v>
      </c>
    </row>
    <row r="58" spans="1:44">
      <c r="A58" s="48" t="s">
        <v>57</v>
      </c>
      <c r="B58" s="1" t="s">
        <v>58</v>
      </c>
      <c r="E58" s="65">
        <f t="shared" si="19"/>
        <v>0.15814885842293055</v>
      </c>
      <c r="F58" s="113">
        <f>IFERROR(VLOOKUP($A58,[34]Geographic!$A$2:$C$9,3,0),0)</f>
        <v>15652451.269999994</v>
      </c>
      <c r="I58" s="65">
        <v>0.17059242023152821</v>
      </c>
      <c r="J58" s="113">
        <v>20883090.490000006</v>
      </c>
      <c r="M58" s="65">
        <v>0.16800385635596971</v>
      </c>
      <c r="N58" s="113">
        <v>23092232.519999996</v>
      </c>
      <c r="Q58" s="65">
        <v>0.1615818198112817</v>
      </c>
      <c r="R58" s="113">
        <v>24951290.219999995</v>
      </c>
      <c r="U58" s="65">
        <f t="shared" si="20"/>
        <v>0.16957389783527108</v>
      </c>
      <c r="V58" s="113">
        <f>IFERROR(VLOOKUP(A58,'[35]Geographic Distribution'!$A$2:$C$9,3,0),0)</f>
        <v>31337755.710000012</v>
      </c>
      <c r="Y58" s="65">
        <f t="shared" si="21"/>
        <v>0.17676151957419009</v>
      </c>
      <c r="Z58" s="113">
        <f>VLOOKUP(A58,[29]Geographic!$A$5:$B$12,2,0)</f>
        <v>37741507.400000028</v>
      </c>
      <c r="AC58" s="65">
        <f t="shared" si="22"/>
        <v>0.16959521765118077</v>
      </c>
      <c r="AD58" s="113">
        <f>VLOOKUP($A58,'[37](900__GEOGRAPHIC_DISTRIBUTION'!$A$2:$C$9,3,FALSE)</f>
        <v>39519725.810000002</v>
      </c>
      <c r="AG58" s="65">
        <f t="shared" si="23"/>
        <v>0.16273720878386361</v>
      </c>
      <c r="AH58" s="113">
        <f>VLOOKUP($A58,'[38](900__GEOGRAPHIC_DISTRIBUTION'!$A$1:$C$9,3,FALSE)</f>
        <v>41235728.100000001</v>
      </c>
      <c r="AK58" s="65">
        <f t="shared" si="24"/>
        <v>0.16042445632683933</v>
      </c>
      <c r="AL58" s="113">
        <f>VLOOKUP(A58,'[39](900__GEOGRAPHIC_DISTRIBUTION'!$A$2:$C$9,3,0)</f>
        <v>46439858.82</v>
      </c>
      <c r="AO58" s="65">
        <v>0.16439168543699959</v>
      </c>
      <c r="AP58" s="113">
        <v>53115942.429999985</v>
      </c>
    </row>
    <row r="59" spans="1:44">
      <c r="A59" s="48" t="s">
        <v>59</v>
      </c>
      <c r="B59" s="1" t="s">
        <v>60</v>
      </c>
      <c r="E59" s="65">
        <f t="shared" si="19"/>
        <v>5.4349493231928986E-4</v>
      </c>
      <c r="F59" s="113">
        <f>IFERROR(VLOOKUP($A59,[34]Geographic!$A$2:$C$9,3,0),0)</f>
        <v>53791.26999999999</v>
      </c>
      <c r="I59" s="65">
        <v>5.3337703259980743E-4</v>
      </c>
      <c r="J59" s="113">
        <v>65293.409999999974</v>
      </c>
      <c r="M59" s="65">
        <v>5.563733042814506E-4</v>
      </c>
      <c r="N59" s="113">
        <v>76473.849999999962</v>
      </c>
      <c r="Q59" s="65">
        <v>5.6561456072915016E-4</v>
      </c>
      <c r="R59" s="113">
        <v>87341.589999999967</v>
      </c>
      <c r="U59" s="65">
        <f t="shared" si="20"/>
        <v>5.2978257470893346E-4</v>
      </c>
      <c r="V59" s="113">
        <f>IFERROR(VLOOKUP(A59,'[35]Geographic Distribution'!$A$2:$C$9,3,0),0)</f>
        <v>97905.379999999976</v>
      </c>
      <c r="Y59" s="65">
        <f t="shared" si="21"/>
        <v>5.0662923773926803E-4</v>
      </c>
      <c r="Z59" s="113">
        <f>VLOOKUP(A59,[29]Geographic!$A$5:$B$12,2,0)</f>
        <v>108173.72</v>
      </c>
      <c r="AC59" s="65">
        <f t="shared" si="22"/>
        <v>5.070506053239484E-4</v>
      </c>
      <c r="AD59" s="113">
        <f>VLOOKUP($A59,'[37](900__GEOGRAPHIC_DISTRIBUTION'!$A$2:$C$9,3,FALSE)</f>
        <v>118154.87</v>
      </c>
      <c r="AG59" s="65">
        <f t="shared" si="23"/>
        <v>5.0458836254352974E-4</v>
      </c>
      <c r="AH59" s="113">
        <f>VLOOKUP($A59,'[38](900__GEOGRAPHIC_DISTRIBUTION'!$A$1:$C$9,3,FALSE)</f>
        <v>127856.86</v>
      </c>
      <c r="AK59" s="65">
        <f t="shared" si="24"/>
        <v>4.7425364993758081E-4</v>
      </c>
      <c r="AL59" s="113">
        <f>VLOOKUP(A59,'[39](900__GEOGRAPHIC_DISTRIBUTION'!$A$2:$C$9,3,0)</f>
        <v>137287.5</v>
      </c>
      <c r="AO59" s="65">
        <v>4.532703913420456E-4</v>
      </c>
      <c r="AP59" s="113">
        <v>146454.39000000001</v>
      </c>
    </row>
    <row r="60" spans="1:44">
      <c r="A60" s="48" t="s">
        <v>61</v>
      </c>
      <c r="B60" s="1" t="s">
        <v>62</v>
      </c>
      <c r="E60" s="65">
        <f t="shared" si="19"/>
        <v>6.4102748846218635E-4</v>
      </c>
      <c r="F60" s="113">
        <f>IFERROR(VLOOKUP($A60,[34]Geographic!$A$2:$C$9,3,0),0)</f>
        <v>63444.350000000006</v>
      </c>
      <c r="I60" s="65">
        <v>6.6445235113935831E-4</v>
      </c>
      <c r="J60" s="113">
        <v>81339.010000000009</v>
      </c>
      <c r="M60" s="65">
        <v>7.7010491320999967E-4</v>
      </c>
      <c r="N60" s="113">
        <v>105851.39000000001</v>
      </c>
      <c r="Q60" s="65">
        <v>1.3630727960398184E-3</v>
      </c>
      <c r="R60" s="113">
        <v>210484.22999999998</v>
      </c>
      <c r="U60" s="65">
        <f t="shared" si="20"/>
        <v>1.3174392325810776E-3</v>
      </c>
      <c r="V60" s="113">
        <f>IFERROR(VLOOKUP(A60,'[35]Geographic Distribution'!$A$2:$C$9,3,0),0)</f>
        <v>243466.64999999997</v>
      </c>
      <c r="Y60" s="65">
        <f t="shared" si="21"/>
        <v>1.2902426428009384E-3</v>
      </c>
      <c r="Z60" s="113">
        <f>VLOOKUP(A60,[29]Geographic!$A$5:$B$12,2,0)</f>
        <v>275488.13999999996</v>
      </c>
      <c r="AC60" s="65">
        <f t="shared" si="22"/>
        <v>1.3176769540755365E-3</v>
      </c>
      <c r="AD60" s="113">
        <f>VLOOKUP($A60,'[37](900__GEOGRAPHIC_DISTRIBUTION'!$A$2:$C$9,3,FALSE)</f>
        <v>307050.12</v>
      </c>
      <c r="AG60" s="65">
        <f t="shared" si="23"/>
        <v>1.3290390232619028E-3</v>
      </c>
      <c r="AH60" s="113">
        <f>VLOOKUP($A60,'[38](900__GEOGRAPHIC_DISTRIBUTION'!$A$1:$C$9,3,FALSE)</f>
        <v>336763.13</v>
      </c>
      <c r="AK60" s="65">
        <f t="shared" si="24"/>
        <v>1.2871173070231874E-3</v>
      </c>
      <c r="AL60" s="113">
        <f>VLOOKUP(A60,'[39](900__GEOGRAPHIC_DISTRIBUTION'!$A$2:$C$9,3,0)</f>
        <v>372596.22</v>
      </c>
      <c r="AO60" s="65">
        <v>1.2607657880394773E-3</v>
      </c>
      <c r="AP60" s="113">
        <v>407361.01</v>
      </c>
    </row>
    <row r="61" spans="1:44">
      <c r="A61" s="48" t="s">
        <v>63</v>
      </c>
      <c r="B61" s="1" t="s">
        <v>64</v>
      </c>
      <c r="E61" s="65">
        <f t="shared" si="19"/>
        <v>9.7817065334642409E-3</v>
      </c>
      <c r="F61" s="113">
        <f>IFERROR(VLOOKUP($A61,[34]Geographic!$A$2:$C$9,3,0),0)</f>
        <v>968123.86999999976</v>
      </c>
      <c r="I61" s="65">
        <v>9.1837073673463384E-3</v>
      </c>
      <c r="J61" s="113">
        <v>1124224.58</v>
      </c>
      <c r="M61" s="65">
        <v>9.7140570061387578E-3</v>
      </c>
      <c r="N61" s="113">
        <v>1335203.06</v>
      </c>
      <c r="Q61" s="65">
        <v>1.0606299620380653E-2</v>
      </c>
      <c r="R61" s="113">
        <v>1637813.3399999999</v>
      </c>
      <c r="U61" s="65">
        <f t="shared" si="20"/>
        <v>1.0025300139566273E-2</v>
      </c>
      <c r="V61" s="113">
        <f>IFERROR(VLOOKUP(A61,'[35]Geographic Distribution'!$A$2:$C$9,3,0),0)</f>
        <v>1852704.9899999998</v>
      </c>
      <c r="Y61" s="65">
        <f t="shared" si="21"/>
        <v>9.603931695927553E-3</v>
      </c>
      <c r="Z61" s="113">
        <f>VLOOKUP(A61,[29]Geographic!$A$5:$B$12,2,0)</f>
        <v>2050598.2300000002</v>
      </c>
      <c r="AC61" s="65">
        <f t="shared" si="22"/>
        <v>9.8140682801091481E-3</v>
      </c>
      <c r="AD61" s="113">
        <f>VLOOKUP($A61,'[37](900__GEOGRAPHIC_DISTRIBUTION'!$A$2:$C$9,3,FALSE)</f>
        <v>2286911.7000000002</v>
      </c>
      <c r="AG61" s="65">
        <f t="shared" si="23"/>
        <v>1.0420237281767357E-2</v>
      </c>
      <c r="AH61" s="113">
        <f>VLOOKUP($A61,'[38](900__GEOGRAPHIC_DISTRIBUTION'!$A$1:$C$9,3,FALSE)</f>
        <v>2640367.71</v>
      </c>
      <c r="AK61" s="65">
        <f t="shared" si="24"/>
        <v>1.011927301235988E-2</v>
      </c>
      <c r="AL61" s="113">
        <f>VLOOKUP(A61,'[39](900__GEOGRAPHIC_DISTRIBUTION'!$A$2:$C$9,3,0)</f>
        <v>2929338.96</v>
      </c>
      <c r="AO61" s="65">
        <v>9.7935702529769603E-3</v>
      </c>
      <c r="AP61" s="113">
        <v>3164361.4599999995</v>
      </c>
    </row>
    <row r="62" spans="1:44" ht="13.5" thickBot="1">
      <c r="A62" s="48" t="s">
        <v>65</v>
      </c>
      <c r="B62" s="1" t="s">
        <v>66</v>
      </c>
      <c r="E62" s="65">
        <f t="shared" si="19"/>
        <v>0.12764014748475072</v>
      </c>
      <c r="F62" s="113">
        <f>IFERROR(VLOOKUP($A62,[34]Geographic!$A$2:$C$9,3,0),0)</f>
        <v>12632915.649999995</v>
      </c>
      <c r="I62" s="65">
        <v>0.15607404297605604</v>
      </c>
      <c r="J62" s="113">
        <v>19105821.690000009</v>
      </c>
      <c r="M62" s="65">
        <v>0.14914519751062563</v>
      </c>
      <c r="N62" s="113">
        <v>20500098.360000011</v>
      </c>
      <c r="Q62" s="65">
        <v>0.14566100979101079</v>
      </c>
      <c r="R62" s="113">
        <v>22492815.920000017</v>
      </c>
      <c r="U62" s="65">
        <f t="shared" si="20"/>
        <v>0.13945031841447939</v>
      </c>
      <c r="V62" s="113">
        <f>IFERROR(VLOOKUP(A62,'[35]Geographic Distribution'!$A$2:$C$9,3,0),0)</f>
        <v>25770829.520000018</v>
      </c>
      <c r="Y62" s="65">
        <f t="shared" si="21"/>
        <v>0.15508289466994782</v>
      </c>
      <c r="Z62" s="113">
        <f>VLOOKUP(A62,[29]Geographic!$A$5:$B$12,2,0)</f>
        <v>33112762.500000019</v>
      </c>
      <c r="AC62" s="65">
        <f t="shared" si="22"/>
        <v>0.14969067123961258</v>
      </c>
      <c r="AD62" s="113">
        <f>VLOOKUP($A62,'[37](900__GEOGRAPHIC_DISTRIBUTION'!$A$2:$C$9,3,FALSE)</f>
        <v>34881492.329999998</v>
      </c>
      <c r="AG62" s="65">
        <f t="shared" si="23"/>
        <v>0.14213322412916343</v>
      </c>
      <c r="AH62" s="113">
        <f>VLOOKUP($A62,'[38](900__GEOGRAPHIC_DISTRIBUTION'!$A$1:$C$9,3,FALSE)</f>
        <v>36014916.490000002</v>
      </c>
      <c r="AK62" s="65">
        <f t="shared" si="24"/>
        <v>0.13946998552468048</v>
      </c>
      <c r="AL62" s="113">
        <f>VLOOKUP(A62,'[39](900__GEOGRAPHIC_DISTRIBUTION'!$A$2:$C$9,3,0)</f>
        <v>40373934.159999996</v>
      </c>
      <c r="AO62" s="65">
        <v>0.15260027503424811</v>
      </c>
      <c r="AP62" s="113">
        <v>49306066.79999999</v>
      </c>
    </row>
    <row r="63" spans="1:44" ht="13.5" thickBot="1">
      <c r="A63" s="48"/>
      <c r="B63" s="3" t="s">
        <v>46</v>
      </c>
      <c r="C63" s="55"/>
      <c r="D63" s="55"/>
      <c r="E63" s="134">
        <f>SUM(E55:E62)</f>
        <v>1</v>
      </c>
      <c r="F63" s="120">
        <f>SUM(F55:F62)</f>
        <v>98972900.75999999</v>
      </c>
      <c r="H63" s="55"/>
      <c r="I63" s="134">
        <v>0.99999999999999978</v>
      </c>
      <c r="J63" s="120">
        <v>122415113.53000006</v>
      </c>
      <c r="L63" s="55"/>
      <c r="M63" s="134">
        <v>0.99999999999999989</v>
      </c>
      <c r="N63" s="120">
        <v>137450609.89000005</v>
      </c>
      <c r="P63" s="55"/>
      <c r="Q63" s="134">
        <v>1</v>
      </c>
      <c r="R63" s="120">
        <v>154418920.69999999</v>
      </c>
      <c r="T63" s="55"/>
      <c r="U63" s="134">
        <f>SUM(U55:U62)</f>
        <v>1</v>
      </c>
      <c r="V63" s="120">
        <f>SUM(V55:V62)</f>
        <v>184802944.97000006</v>
      </c>
      <c r="X63" s="55"/>
      <c r="Y63" s="134">
        <f>SUM(Y55:Y62)</f>
        <v>1</v>
      </c>
      <c r="Z63" s="120">
        <f>SUM(Z55:Z62)</f>
        <v>213516536.24000001</v>
      </c>
      <c r="AB63" s="55"/>
      <c r="AC63" s="134">
        <f>SUM(AC55:AC62)</f>
        <v>1</v>
      </c>
      <c r="AD63" s="120">
        <f>SUM(AD55:AD62)</f>
        <v>233023822</v>
      </c>
      <c r="AF63" s="55"/>
      <c r="AG63" s="134">
        <f>SUM(AG55:AG62)</f>
        <v>0.99999999999999989</v>
      </c>
      <c r="AH63" s="120">
        <f>SUM(AH55:AH62)</f>
        <v>253388443.91000012</v>
      </c>
      <c r="AK63" s="134">
        <f>SUM(AK55:AK62)</f>
        <v>1.0000000000000002</v>
      </c>
      <c r="AL63" s="120">
        <f>SUM(AL55:AL62)</f>
        <v>289481166.91999984</v>
      </c>
      <c r="AO63" s="134">
        <v>0.99999999999999989</v>
      </c>
      <c r="AP63" s="120">
        <v>323106015.30000007</v>
      </c>
    </row>
    <row r="64" spans="1:44">
      <c r="A64" s="72" t="s">
        <v>68</v>
      </c>
      <c r="E64" s="65"/>
      <c r="I64" s="65"/>
      <c r="M64" s="65"/>
      <c r="Q64" s="65"/>
      <c r="U64" s="65"/>
      <c r="Y64" s="65"/>
      <c r="AC64" s="65"/>
      <c r="AG64" s="65"/>
      <c r="AK64" s="65"/>
      <c r="AO64" s="65"/>
    </row>
    <row r="65" spans="1:43">
      <c r="A65" s="72" t="s">
        <v>70</v>
      </c>
      <c r="B65" s="70" t="s">
        <v>67</v>
      </c>
      <c r="C65" s="71"/>
      <c r="D65" s="71"/>
      <c r="E65" s="65"/>
      <c r="H65" s="71"/>
      <c r="I65" s="65"/>
      <c r="L65" s="71"/>
      <c r="M65" s="65"/>
      <c r="P65" s="71"/>
      <c r="Q65" s="65"/>
      <c r="T65" s="71"/>
      <c r="U65" s="65"/>
      <c r="X65" s="71"/>
      <c r="Y65" s="65"/>
      <c r="AB65" s="71"/>
      <c r="AC65" s="65"/>
      <c r="AF65" s="71"/>
      <c r="AG65" s="65"/>
      <c r="AK65" s="65"/>
      <c r="AO65" s="65"/>
    </row>
    <row r="66" spans="1:43">
      <c r="A66" s="105" t="s">
        <v>154</v>
      </c>
      <c r="B66" s="1" t="s">
        <v>69</v>
      </c>
      <c r="E66" s="65">
        <f>F66/F$69</f>
        <v>0.94459199944742533</v>
      </c>
      <c r="F66" s="113">
        <f>VLOOKUP($A66,'[34]Top Industry'!$A$2:$C$4,3,0)</f>
        <v>93489010.220000058</v>
      </c>
      <c r="I66" s="65">
        <v>0.94623101551601352</v>
      </c>
      <c r="J66" s="113">
        <v>115832977.18999988</v>
      </c>
      <c r="M66" s="65">
        <v>0.93994118944538363</v>
      </c>
      <c r="N66" s="113">
        <v>129195489.75</v>
      </c>
      <c r="Q66" s="65">
        <v>0.93697288022814162</v>
      </c>
      <c r="R66" s="113">
        <v>144686340.89000005</v>
      </c>
      <c r="U66" s="65">
        <f>V66/V$69</f>
        <v>0.93889860715242912</v>
      </c>
      <c r="V66" s="113">
        <f>VLOOKUP(A66,'[35]Top Industry'!$A$2:$C$4,3,0)</f>
        <v>173511227.63000003</v>
      </c>
      <c r="Y66" s="65">
        <f>Z66/Z$69</f>
        <v>0.94078823470708073</v>
      </c>
      <c r="Z66" s="113">
        <f>VLOOKUP(A66,'[36]Top Industry'!$A$2:$C$4,3,0)</f>
        <v>200873845.20999998</v>
      </c>
      <c r="AC66" s="65">
        <f>AD66/AD$69</f>
        <v>0.9414229425436168</v>
      </c>
      <c r="AD66" s="113">
        <f>VLOOKUP($A66,'[37](902__TOP_INDUSTRY_DISTRIBUTION'!$A$2:$C$4,3,FALSE)</f>
        <v>219373972.19</v>
      </c>
      <c r="AG66" s="65">
        <f>AH66/AH$69</f>
        <v>0.93863206435127278</v>
      </c>
      <c r="AH66" s="113">
        <f>VLOOKUP($A66,'[38](902__TOP_INDUSTRY_DISTRIBUTION'!$A$1:$C$4,3,FALSE)</f>
        <v>237838518.19</v>
      </c>
      <c r="AK66" s="65">
        <f>AL66/$AL$69</f>
        <v>0.93998476686809407</v>
      </c>
      <c r="AL66" s="113">
        <f>VLOOKUP(A66,'[39](902__TOP_INDUSTRY_DISTRIBUTION'!$A$2:$C$4,3,0)</f>
        <v>272107887.19999999</v>
      </c>
      <c r="AO66" s="65">
        <v>0.94156346590307494</v>
      </c>
      <c r="AP66" s="113">
        <v>304224819.61999959</v>
      </c>
    </row>
    <row r="67" spans="1:43">
      <c r="A67" s="105" t="s">
        <v>155</v>
      </c>
      <c r="B67" s="1" t="s">
        <v>71</v>
      </c>
      <c r="E67" s="65">
        <f>F67/F$69</f>
        <v>5.4029794104622095E-2</v>
      </c>
      <c r="F67" s="113">
        <f>VLOOKUP($A67,'[34]Top Industry'!$A$2:$C$4,3,0)</f>
        <v>5347485.4499999993</v>
      </c>
      <c r="I67" s="65">
        <v>5.2400263374570988E-2</v>
      </c>
      <c r="J67" s="113">
        <v>6414584.1900000023</v>
      </c>
      <c r="M67" s="65">
        <v>5.8050801712597626E-2</v>
      </c>
      <c r="N67" s="113">
        <v>7979118.0999999996</v>
      </c>
      <c r="Q67" s="65">
        <v>6.0984099405119063E-2</v>
      </c>
      <c r="R67" s="113">
        <v>9417098.8100000005</v>
      </c>
      <c r="U67" s="65">
        <f>V67/V$69</f>
        <v>5.8981272900004059E-2</v>
      </c>
      <c r="V67" s="113">
        <f>VLOOKUP(A67,'[35]Top Industry'!$A$2:$C$4,3,0)</f>
        <v>10899912.930000003</v>
      </c>
      <c r="Y67" s="65">
        <f>Z67/Z$69</f>
        <v>5.6850636038586956E-2</v>
      </c>
      <c r="Z67" s="113">
        <f>VLOOKUP(A67,'[36]Top Industry'!$A$2:$C$4,3,0)</f>
        <v>12138550.889999999</v>
      </c>
      <c r="AC67" s="65">
        <f>AD67/AD$69</f>
        <v>5.6119329765349057E-2</v>
      </c>
      <c r="AD67" s="113">
        <f>VLOOKUP($A67,'[37](902__TOP_INDUSTRY_DISTRIBUTION'!$A$2:$C$4,3,FALSE)</f>
        <v>13077140.710000001</v>
      </c>
      <c r="AG67" s="65">
        <f>AH67/AH$69</f>
        <v>5.8471330781219126E-2</v>
      </c>
      <c r="AH67" s="113">
        <f>VLOOKUP($A67,'[38](902__TOP_INDUSTRY_DISTRIBUTION'!$A$1:$C$4,3,FALSE)</f>
        <v>14815959.52</v>
      </c>
      <c r="AK67" s="65">
        <f t="shared" ref="AK67:AK68" si="25">AL67/$AL$69</f>
        <v>5.7018464087376985E-2</v>
      </c>
      <c r="AL67" s="113">
        <f>VLOOKUP(A67,'[39](902__TOP_INDUSTRY_DISTRIBUTION'!$A$2:$C$4,3,0)</f>
        <v>16505771.52</v>
      </c>
      <c r="AO67" s="65">
        <v>5.5372328780039337E-2</v>
      </c>
      <c r="AP67" s="113">
        <v>17891132.509999998</v>
      </c>
    </row>
    <row r="68" spans="1:43" ht="13.5" thickBot="1">
      <c r="A68" s="105" t="s">
        <v>164</v>
      </c>
      <c r="B68" s="1" t="s">
        <v>218</v>
      </c>
      <c r="E68" s="65">
        <f>F68/F$69</f>
        <v>1.3782064479525504E-3</v>
      </c>
      <c r="F68" s="113">
        <f>'[34]Top Industry'!$C$4</f>
        <v>136405.08999999997</v>
      </c>
      <c r="I68" s="65">
        <v>1.3687211094154522E-3</v>
      </c>
      <c r="J68" s="113">
        <v>167552.14999999997</v>
      </c>
      <c r="M68" s="65">
        <v>2.008008842018824E-3</v>
      </c>
      <c r="N68" s="113">
        <v>276002.03999999998</v>
      </c>
      <c r="Q68" s="65">
        <v>2.0430203667392934E-3</v>
      </c>
      <c r="R68" s="113">
        <v>315480.99999999994</v>
      </c>
      <c r="U68" s="65">
        <f>V68/V$69</f>
        <v>2.1201199475668711E-3</v>
      </c>
      <c r="V68" s="113">
        <f>VLOOKUP(A68,'[35]Top Industry'!$A$2:$C$4,3,0)</f>
        <v>391804.40999999986</v>
      </c>
      <c r="Y68" s="65">
        <f>Z68/Z$69</f>
        <v>2.3611292543324557E-3</v>
      </c>
      <c r="Z68" s="113">
        <f>'[36]Top Industry'!$C$4</f>
        <v>504140.13999999984</v>
      </c>
      <c r="AC68" s="65">
        <f>AD68/AD$69</f>
        <v>2.4577276910340952E-3</v>
      </c>
      <c r="AD68" s="113">
        <f>VLOOKUP($A68,'[37](902__TOP_INDUSTRY_DISTRIBUTION'!$A$2:$C$4,3,FALSE)</f>
        <v>572709.1</v>
      </c>
      <c r="AG68" s="65">
        <f>AH68/AH$69</f>
        <v>2.8966048675080638E-3</v>
      </c>
      <c r="AH68" s="113">
        <f>VLOOKUP($A68,'[38](902__TOP_INDUSTRY_DISTRIBUTION'!$A$1:$C$4,3,FALSE)</f>
        <v>733966.2</v>
      </c>
      <c r="AK68" s="65">
        <f t="shared" si="25"/>
        <v>2.9967690445290404E-3</v>
      </c>
      <c r="AL68" s="113">
        <f>VLOOKUP(A68,'[39](902__TOP_INDUSTRY_DISTRIBUTION'!$A$2:$C$4,3,0)</f>
        <v>867508.2</v>
      </c>
      <c r="AO68" s="65">
        <v>3.0642053168856652E-3</v>
      </c>
      <c r="AP68" s="113">
        <v>990063.16999999981</v>
      </c>
    </row>
    <row r="69" spans="1:43" ht="13.5" thickBot="1">
      <c r="A69" s="106"/>
      <c r="B69" s="3" t="s">
        <v>46</v>
      </c>
      <c r="C69" s="55"/>
      <c r="D69" s="55"/>
      <c r="E69" s="134">
        <f>SUM(E66:E68)</f>
        <v>0.99999999999999989</v>
      </c>
      <c r="F69" s="120">
        <f>SUM(F66:F68)</f>
        <v>98972900.760000065</v>
      </c>
      <c r="H69" s="55"/>
      <c r="I69" s="134">
        <v>0.99999999999999989</v>
      </c>
      <c r="J69" s="120">
        <v>122415113.52999988</v>
      </c>
      <c r="L69" s="55"/>
      <c r="M69" s="134">
        <v>1</v>
      </c>
      <c r="N69" s="120">
        <v>137450609.88999999</v>
      </c>
      <c r="P69" s="55"/>
      <c r="Q69" s="134">
        <v>1</v>
      </c>
      <c r="R69" s="120">
        <v>154418920.70000005</v>
      </c>
      <c r="T69" s="55"/>
      <c r="U69" s="134">
        <f>SUM(U66:U68)</f>
        <v>1</v>
      </c>
      <c r="V69" s="120">
        <f>SUM(V66:V68)</f>
        <v>184802944.97000003</v>
      </c>
      <c r="X69" s="55"/>
      <c r="Y69" s="134">
        <f>SUM(Y66:Y68)</f>
        <v>1.0000000000000002</v>
      </c>
      <c r="Z69" s="120">
        <f>SUM(Z66:Z68)</f>
        <v>213516536.23999995</v>
      </c>
      <c r="AB69" s="55"/>
      <c r="AC69" s="134">
        <f>SUM(AC66:AC68)</f>
        <v>1</v>
      </c>
      <c r="AD69" s="120">
        <f>SUM(AD66:AD68)</f>
        <v>233023822</v>
      </c>
      <c r="AF69" s="55"/>
      <c r="AG69" s="134">
        <f>SUM(AG66:AG68)</f>
        <v>1</v>
      </c>
      <c r="AH69" s="120">
        <f>SUM(AH66:AH68)</f>
        <v>253388443.91</v>
      </c>
      <c r="AK69" s="134">
        <f>SUM(AK66:AK68)</f>
        <v>1</v>
      </c>
      <c r="AL69" s="120">
        <f>SUM(AL66:AL68)</f>
        <v>289481166.91999996</v>
      </c>
      <c r="AO69" s="134">
        <v>1</v>
      </c>
      <c r="AP69" s="120">
        <v>323106015.29999959</v>
      </c>
    </row>
    <row r="70" spans="1:43">
      <c r="A70" s="107" t="s">
        <v>73</v>
      </c>
      <c r="E70" s="65"/>
      <c r="I70" s="65"/>
      <c r="M70" s="65"/>
      <c r="Q70" s="65"/>
      <c r="U70" s="65"/>
      <c r="Y70" s="65"/>
      <c r="AC70" s="65"/>
      <c r="AG70" s="65"/>
      <c r="AK70" s="65"/>
      <c r="AO70" s="65"/>
    </row>
    <row r="71" spans="1:43">
      <c r="A71" s="107" t="s">
        <v>74</v>
      </c>
      <c r="B71" s="70" t="s">
        <v>72</v>
      </c>
      <c r="C71" s="71"/>
      <c r="D71" s="71"/>
      <c r="E71" s="65"/>
      <c r="H71" s="71"/>
      <c r="I71" s="65"/>
      <c r="L71" s="71"/>
      <c r="M71" s="65"/>
      <c r="P71" s="71"/>
      <c r="Q71" s="65"/>
      <c r="T71" s="71"/>
      <c r="U71" s="65"/>
      <c r="X71" s="71"/>
      <c r="Y71" s="65"/>
      <c r="AB71" s="71"/>
      <c r="AC71" s="65"/>
      <c r="AF71" s="71"/>
      <c r="AG71" s="65"/>
      <c r="AK71" s="65"/>
      <c r="AO71" s="65"/>
    </row>
    <row r="72" spans="1:43">
      <c r="A72" s="107" t="s">
        <v>248</v>
      </c>
      <c r="B72" s="1" t="s">
        <v>116</v>
      </c>
      <c r="E72" s="65">
        <f t="shared" ref="E72:E74" si="26">F72/F$107</f>
        <v>0.1005832584834508</v>
      </c>
      <c r="F72" s="113">
        <f>IFERROR(VLOOKUP($A72,[34]Collateral!$A$2:$C$32,3,FALSE),0)</f>
        <v>9955016.8600000069</v>
      </c>
      <c r="I72" s="65">
        <v>9.9110086983064463E-2</v>
      </c>
      <c r="J72" s="113">
        <v>12132572.550000006</v>
      </c>
      <c r="M72" s="65">
        <v>9.9294887166542514E-2</v>
      </c>
      <c r="N72" s="113">
        <v>13648142.800000001</v>
      </c>
      <c r="Q72" s="65">
        <v>9.9789476316421433E-2</v>
      </c>
      <c r="R72" s="113">
        <v>15409383.230000013</v>
      </c>
      <c r="U72" s="65">
        <f t="shared" ref="U72:U106" si="27">V72/V$107</f>
        <v>9.8305899740662533E-2</v>
      </c>
      <c r="V72" s="113">
        <f>IFERROR(VLOOKUP($A72,'[35]Collateral Type'!$A$2:$C$32,3,FALSE),0)</f>
        <v>18167219.780000005</v>
      </c>
      <c r="Y72" s="65">
        <f t="shared" ref="Y72:Y106" si="28">Z72/Z$107</f>
        <v>9.6472842304103898E-2</v>
      </c>
      <c r="Z72" s="113">
        <f>IFERROR(VLOOKUP($A72,[36]Collateral!$A$2:$C$32,3,FALSE),0)</f>
        <v>20598547.130000014</v>
      </c>
      <c r="AC72" s="65">
        <f t="shared" ref="AC72:AC106" si="29">AD72/AD$107</f>
        <v>0</v>
      </c>
      <c r="AD72" s="113">
        <f>IFERROR(VLOOKUP($A72,'[37](901__COLLATERAL_TYPE'!$A$2:$C$30,3,FALSE),0)</f>
        <v>0</v>
      </c>
      <c r="AG72" s="65">
        <f t="shared" ref="AG72:AG106" si="30">AH72/AH$107</f>
        <v>0</v>
      </c>
      <c r="AH72" s="113">
        <f>IFERROR(VLOOKUP($A72,'[38](901__COLLATERAL_TYPE'!$A$1:$C$30,3,FALSE),0)</f>
        <v>0</v>
      </c>
      <c r="AK72" s="65">
        <f>AL72/$AL$107</f>
        <v>0</v>
      </c>
      <c r="AL72" s="113">
        <v>0</v>
      </c>
      <c r="AO72" s="65">
        <v>0</v>
      </c>
      <c r="AP72" s="113">
        <v>0</v>
      </c>
    </row>
    <row r="73" spans="1:43">
      <c r="A73" s="105" t="s">
        <v>129</v>
      </c>
      <c r="B73" s="1" t="s">
        <v>129</v>
      </c>
      <c r="E73" s="65">
        <f t="shared" si="26"/>
        <v>0.153970720399041</v>
      </c>
      <c r="F73" s="113">
        <f>IFERROR(VLOOKUP($A73,[34]Collateral!$A$2:$C$32,3,FALSE),0)</f>
        <v>15238928.829999996</v>
      </c>
      <c r="I73" s="65">
        <v>0.15661311954999418</v>
      </c>
      <c r="J73" s="113">
        <v>19171812.809999995</v>
      </c>
      <c r="M73" s="65">
        <v>0.14963799939818509</v>
      </c>
      <c r="N73" s="113">
        <v>20567834.27999999</v>
      </c>
      <c r="Q73" s="65">
        <v>0.1471020497166316</v>
      </c>
      <c r="R73" s="113">
        <v>22715339.75</v>
      </c>
      <c r="U73" s="65">
        <f t="shared" si="27"/>
        <v>0.15117105046423979</v>
      </c>
      <c r="V73" s="113">
        <f>IFERROR(VLOOKUP($A73,'[35]Collateral Type'!$A$2:$C$32,3,FALSE),0)</f>
        <v>27936855.320000011</v>
      </c>
      <c r="Y73" s="65">
        <f t="shared" si="28"/>
        <v>0.15084069794855728</v>
      </c>
      <c r="Z73" s="113">
        <f>IFERROR(VLOOKUP($A73,[36]Collateral!$A$2:$C$32,3,FALSE),0)</f>
        <v>32206983.350000039</v>
      </c>
      <c r="AC73" s="65">
        <f t="shared" si="29"/>
        <v>0.14308341045921047</v>
      </c>
      <c r="AD73" s="113">
        <f>IFERROR(VLOOKUP($A73,'[37](901__COLLATERAL_TYPE'!$A$2:$C$30,3,FALSE),0)</f>
        <v>33341843.170000002</v>
      </c>
      <c r="AG73" s="65">
        <f t="shared" si="30"/>
        <v>0.14225043937995266</v>
      </c>
      <c r="AH73" s="113">
        <f>IFERROR(VLOOKUP($A73,'[38](901__COLLATERAL_TYPE'!$A$1:$C$30,3,FALSE),0)</f>
        <v>36044617.479999997</v>
      </c>
      <c r="AK73" s="65">
        <f t="shared" ref="AK73:AK106" si="31">AL73/$AL$107</f>
        <v>0.14567592724142253</v>
      </c>
      <c r="AL73" s="113">
        <f>VLOOKUP(A73,'[39](901__COLLATERAL_TYPE'!$A$2:$C$30,3,0)</f>
        <v>42170437.409999996</v>
      </c>
      <c r="AO73" s="65">
        <v>0.14493833900467154</v>
      </c>
      <c r="AP73" s="113">
        <v>46830449.179999992</v>
      </c>
    </row>
    <row r="74" spans="1:43">
      <c r="A74" s="105" t="s">
        <v>127</v>
      </c>
      <c r="B74" s="1" t="s">
        <v>127</v>
      </c>
      <c r="E74" s="65">
        <f t="shared" si="26"/>
        <v>0</v>
      </c>
      <c r="F74" s="113">
        <f>IFERROR(VLOOKUP($A74,[34]Collateral!$A$2:$C$32,3,FALSE),0)</f>
        <v>0</v>
      </c>
      <c r="I74" s="65">
        <v>0</v>
      </c>
      <c r="J74" s="113">
        <v>0</v>
      </c>
      <c r="M74" s="65">
        <v>0</v>
      </c>
      <c r="N74" s="113">
        <v>0</v>
      </c>
      <c r="Q74" s="65">
        <v>0</v>
      </c>
      <c r="R74" s="113">
        <v>0</v>
      </c>
      <c r="U74" s="65">
        <f t="shared" si="27"/>
        <v>0</v>
      </c>
      <c r="V74" s="113">
        <f>IFERROR(VLOOKUP($A74,'[35]Collateral Type'!$A$2:$C$32,3,FALSE),0)</f>
        <v>0</v>
      </c>
      <c r="Y74" s="65">
        <f t="shared" si="28"/>
        <v>0</v>
      </c>
      <c r="Z74" s="113">
        <f>IFERROR(VLOOKUP($A74,[36]Collateral!$A$2:$C$32,3,FALSE),0)</f>
        <v>0</v>
      </c>
      <c r="AC74" s="65">
        <f t="shared" si="29"/>
        <v>6.1850152299021174E-2</v>
      </c>
      <c r="AD74" s="113">
        <f>IFERROR(VLOOKUP($A74,'[37](901__COLLATERAL_TYPE'!$A$2:$C$30,3,FALSE),0)</f>
        <v>14412558.880000001</v>
      </c>
      <c r="AG74" s="65">
        <f t="shared" si="30"/>
        <v>6.6297214745778793E-2</v>
      </c>
      <c r="AH74" s="113">
        <f>IFERROR(VLOOKUP($A74,'[38](901__COLLATERAL_TYPE'!$A$1:$C$30,3,FALSE),0)</f>
        <v>16798948.079999998</v>
      </c>
      <c r="AK74" s="65">
        <f t="shared" si="31"/>
        <v>6.5859038820541754E-2</v>
      </c>
      <c r="AL74" s="113">
        <f>VLOOKUP(A74,'[39](901__COLLATERAL_TYPE'!$A$2:$C$30,3,0)</f>
        <v>19064951.41</v>
      </c>
      <c r="AO74" s="65">
        <v>6.6198015255582873E-2</v>
      </c>
      <c r="AP74" s="113">
        <v>21388976.929999992</v>
      </c>
    </row>
    <row r="75" spans="1:43">
      <c r="A75" s="107" t="s">
        <v>249</v>
      </c>
      <c r="B75" s="1" t="s">
        <v>117</v>
      </c>
      <c r="E75" s="65">
        <f>F75/F$107</f>
        <v>7.8525630150480773E-3</v>
      </c>
      <c r="F75" s="113">
        <f>IFERROR(VLOOKUP($A75,[34]Collateral!$A$2:$C$32,3,FALSE),0)</f>
        <v>777190.93999999983</v>
      </c>
      <c r="I75" s="65">
        <v>7.8618016374599562E-3</v>
      </c>
      <c r="J75" s="113">
        <v>962403.3400000002</v>
      </c>
      <c r="M75" s="65">
        <v>8.0136404697039917E-3</v>
      </c>
      <c r="N75" s="113">
        <v>1101479.7699999996</v>
      </c>
      <c r="Q75" s="65">
        <v>8.6514315988221995E-3</v>
      </c>
      <c r="R75" s="113">
        <v>1335944.73</v>
      </c>
      <c r="U75" s="65">
        <f t="shared" si="27"/>
        <v>8.397636251153506E-3</v>
      </c>
      <c r="V75" s="113">
        <f>IFERROR(VLOOKUP($A75,'[35]Collateral Type'!$A$2:$C$32,3,FALSE),0)</f>
        <v>1551907.9099999992</v>
      </c>
      <c r="Y75" s="65">
        <f t="shared" si="28"/>
        <v>8.4300588689617244E-3</v>
      </c>
      <c r="Z75" s="113">
        <f>IFERROR(VLOOKUP($A75,[36]Collateral!$A$2:$C$32,3,FALSE),0)</f>
        <v>1799956.9700000004</v>
      </c>
      <c r="AC75" s="65">
        <f t="shared" si="29"/>
        <v>0</v>
      </c>
      <c r="AD75" s="113">
        <f>IFERROR(VLOOKUP($A75,'[37](901__COLLATERAL_TYPE'!$A$2:$C$30,3,FALSE),0)</f>
        <v>0</v>
      </c>
      <c r="AG75" s="65">
        <f t="shared" si="30"/>
        <v>0</v>
      </c>
      <c r="AH75" s="113">
        <f>IFERROR(VLOOKUP($A75,'[38](901__COLLATERAL_TYPE'!$A$1:$C$30,3,FALSE),0)</f>
        <v>0</v>
      </c>
      <c r="AK75" s="65">
        <f t="shared" si="31"/>
        <v>0</v>
      </c>
      <c r="AL75" s="113">
        <v>0</v>
      </c>
      <c r="AO75" s="65">
        <v>0</v>
      </c>
      <c r="AP75" s="113">
        <v>0</v>
      </c>
    </row>
    <row r="76" spans="1:43">
      <c r="A76" s="107" t="s">
        <v>161</v>
      </c>
      <c r="B76" s="1" t="s">
        <v>161</v>
      </c>
      <c r="E76" s="65">
        <f t="shared" ref="E76:E106" si="32">F76/F$107</f>
        <v>2.6415756029418393E-4</v>
      </c>
      <c r="F76" s="113">
        <f>IFERROR(VLOOKUP($A76,[34]Collateral!$A$2:$C$32,3,FALSE),0)</f>
        <v>26144.439999999988</v>
      </c>
      <c r="I76" s="65">
        <v>2.1357199487947898E-4</v>
      </c>
      <c r="J76" s="113">
        <v>26144.439999999988</v>
      </c>
      <c r="M76" s="65">
        <v>2.6859422471493832E-4</v>
      </c>
      <c r="N76" s="113">
        <v>36918.439999999981</v>
      </c>
      <c r="Q76" s="65">
        <v>2.3907976971114764E-4</v>
      </c>
      <c r="R76" s="113">
        <v>36918.439999999981</v>
      </c>
      <c r="U76" s="65">
        <f t="shared" si="27"/>
        <v>1.9977192466274344E-4</v>
      </c>
      <c r="V76" s="113">
        <f>IFERROR(VLOOKUP($A76,'[35]Collateral Type'!$A$2:$C$32,3,FALSE),0)</f>
        <v>36918.439999999981</v>
      </c>
      <c r="Y76" s="65">
        <f t="shared" si="28"/>
        <v>1.7780786757109096E-4</v>
      </c>
      <c r="Z76" s="113">
        <f>IFERROR(VLOOKUP($A76,[36]Collateral!$A$2:$C$32,3,FALSE),0)</f>
        <v>37964.919999999984</v>
      </c>
      <c r="AC76" s="65">
        <f t="shared" si="29"/>
        <v>1.7620795010391685E-4</v>
      </c>
      <c r="AD76" s="113">
        <f>IFERROR(VLOOKUP($A76,'[37](901__COLLATERAL_TYPE'!$A$2:$C$30,3,FALSE),0)</f>
        <v>41060.65</v>
      </c>
      <c r="AG76" s="65">
        <f t="shared" si="30"/>
        <v>1.8189294384857722E-4</v>
      </c>
      <c r="AH76" s="113">
        <f>IFERROR(VLOOKUP($A76,'[38](901__COLLATERAL_TYPE'!$A$1:$C$30,3,FALSE),0)</f>
        <v>46089.57</v>
      </c>
      <c r="AK76" s="65">
        <f t="shared" si="31"/>
        <v>1.6926935358645132E-4</v>
      </c>
      <c r="AL76" s="113">
        <f>VLOOKUP(A76,'[39](901__COLLATERAL_TYPE'!$A$2:$C$30,3,0)</f>
        <v>49000.29</v>
      </c>
      <c r="AO76" s="65">
        <v>1.5464670304452856E-4</v>
      </c>
      <c r="AP76" s="113">
        <v>49967.28</v>
      </c>
    </row>
    <row r="77" spans="1:43">
      <c r="A77" s="107" t="s">
        <v>250</v>
      </c>
      <c r="B77" s="1" t="s">
        <v>118</v>
      </c>
      <c r="E77" s="65">
        <f t="shared" si="32"/>
        <v>4.7475599420836859E-2</v>
      </c>
      <c r="F77" s="113">
        <f>IFERROR(VLOOKUP($A77,[34]Collateral!$A$2:$C$32,3,FALSE),0)</f>
        <v>4698797.790000001</v>
      </c>
      <c r="I77" s="65">
        <v>4.6040222383315399E-2</v>
      </c>
      <c r="J77" s="113">
        <v>5636019.0499999998</v>
      </c>
      <c r="M77" s="65">
        <v>4.9691255393235718E-2</v>
      </c>
      <c r="N77" s="113">
        <v>6830093.3600000003</v>
      </c>
      <c r="Q77" s="65">
        <v>5.1955171060847814E-2</v>
      </c>
      <c r="R77" s="113">
        <v>8022861.4399999958</v>
      </c>
      <c r="U77" s="65">
        <f t="shared" si="27"/>
        <v>5.1380700894898719E-2</v>
      </c>
      <c r="V77" s="113">
        <f>IFERROR(VLOOKUP($A77,'[35]Collateral Type'!$A$2:$C$32,3,FALSE),0)</f>
        <v>9495304.8400000017</v>
      </c>
      <c r="Y77" s="65">
        <f t="shared" si="28"/>
        <v>5.0939004826186594E-2</v>
      </c>
      <c r="Z77" s="113">
        <f>IFERROR(VLOOKUP($A77,[36]Collateral!$A$2:$C$32,3,FALSE),0)</f>
        <v>10876319.87000001</v>
      </c>
      <c r="AC77" s="65">
        <f t="shared" si="29"/>
        <v>0</v>
      </c>
      <c r="AD77" s="113">
        <f>IFERROR(VLOOKUP($A77,'[37](901__COLLATERAL_TYPE'!$A$2:$C$30,3,FALSE),0)</f>
        <v>0</v>
      </c>
      <c r="AG77" s="65">
        <f t="shared" si="30"/>
        <v>0</v>
      </c>
      <c r="AH77" s="113">
        <f>IFERROR(VLOOKUP($A77,'[38](901__COLLATERAL_TYPE'!$A$1:$C$30,3,FALSE),0)</f>
        <v>0</v>
      </c>
      <c r="AK77" s="65">
        <f t="shared" si="31"/>
        <v>0</v>
      </c>
      <c r="AL77" s="113">
        <v>0</v>
      </c>
      <c r="AO77" s="65">
        <v>0</v>
      </c>
      <c r="AP77" s="113">
        <v>0</v>
      </c>
    </row>
    <row r="78" spans="1:43">
      <c r="A78" s="105" t="s">
        <v>132</v>
      </c>
      <c r="B78" s="1" t="s">
        <v>132</v>
      </c>
      <c r="E78" s="65">
        <f t="shared" si="32"/>
        <v>1.6933945424759717E-3</v>
      </c>
      <c r="F78" s="113">
        <f>IFERROR(VLOOKUP($A78,[34]Collateral!$A$2:$C$32,3,FALSE),0)</f>
        <v>167600.16999999998</v>
      </c>
      <c r="I78" s="65">
        <v>1.5016776499165664E-3</v>
      </c>
      <c r="J78" s="113">
        <v>183828.04</v>
      </c>
      <c r="M78" s="65">
        <v>1.462326432460765E-3</v>
      </c>
      <c r="N78" s="113">
        <v>200997.66000000003</v>
      </c>
      <c r="Q78" s="65">
        <v>1.4272763272849371E-3</v>
      </c>
      <c r="R78" s="113">
        <v>220398.47000000003</v>
      </c>
      <c r="U78" s="65">
        <f t="shared" si="27"/>
        <v>1.2949872094237974E-3</v>
      </c>
      <c r="V78" s="113">
        <f>IFERROR(VLOOKUP($A78,'[35]Collateral Type'!$A$2:$C$32,3,FALSE),0)</f>
        <v>239317.45</v>
      </c>
      <c r="Y78" s="65">
        <f t="shared" si="28"/>
        <v>1.5017321170833538E-3</v>
      </c>
      <c r="Z78" s="113">
        <f>IFERROR(VLOOKUP($A78,[36]Collateral!$A$2:$C$32,3,FALSE),0)</f>
        <v>320644.64</v>
      </c>
      <c r="AC78" s="65">
        <f t="shared" si="29"/>
        <v>1.4759688389284081E-3</v>
      </c>
      <c r="AD78" s="113">
        <f>IFERROR(VLOOKUP($A78,'[37](901__COLLATERAL_TYPE'!$A$2:$C$30,3,FALSE),0)</f>
        <v>343935.9</v>
      </c>
      <c r="AG78" s="65">
        <f t="shared" si="30"/>
        <v>1.8933132963648417E-3</v>
      </c>
      <c r="AH78" s="113">
        <f>IFERROR(VLOOKUP($A78,'[38](901__COLLATERAL_TYPE'!$A$1:$C$30,3,FALSE),0)</f>
        <v>479743.71</v>
      </c>
      <c r="AK78" s="65">
        <f t="shared" si="31"/>
        <v>2.1063379925109508E-3</v>
      </c>
      <c r="AL78" s="113">
        <f>VLOOKUP(A78,'[39](901__COLLATERAL_TYPE'!$A$2:$C$30,3,0)</f>
        <v>609745.18000000005</v>
      </c>
      <c r="AO78" s="65">
        <v>2.2929284968963557E-3</v>
      </c>
      <c r="AP78" s="113">
        <v>740858.98999999987</v>
      </c>
    </row>
    <row r="79" spans="1:43">
      <c r="A79" s="105" t="s">
        <v>147</v>
      </c>
      <c r="B79" s="1" t="s">
        <v>147</v>
      </c>
      <c r="E79" s="65">
        <f t="shared" si="32"/>
        <v>3.5320068050514311E-2</v>
      </c>
      <c r="F79" s="113">
        <f>IFERROR(VLOOKUP($A79,[34]Collateral!$A$2:$C$32,3,FALSE),0)</f>
        <v>3495729.5900000003</v>
      </c>
      <c r="I79" s="65">
        <v>3.6575587775791507E-2</v>
      </c>
      <c r="J79" s="113">
        <v>4477404.7299999958</v>
      </c>
      <c r="M79" s="65">
        <v>3.9566864231103491E-2</v>
      </c>
      <c r="N79" s="113">
        <v>5438489.6200000001</v>
      </c>
      <c r="Q79" s="65">
        <v>4.1289471595173509E-2</v>
      </c>
      <c r="R79" s="113">
        <v>6375875.6400000025</v>
      </c>
      <c r="U79" s="65">
        <f t="shared" si="27"/>
        <v>4.1756060117184163E-2</v>
      </c>
      <c r="V79" s="113">
        <f>IFERROR(VLOOKUP($A79,'[35]Collateral Type'!$A$2:$C$32,3,FALSE),0)</f>
        <v>7716642.8799999999</v>
      </c>
      <c r="Y79" s="65">
        <f t="shared" si="28"/>
        <v>4.2029537561966181E-2</v>
      </c>
      <c r="Z79" s="113">
        <f>IFERROR(VLOOKUP($A79,[36]Collateral!$A$2:$C$32,3,FALSE),0)</f>
        <v>8974001.2799999975</v>
      </c>
      <c r="AC79" s="65">
        <f t="shared" si="29"/>
        <v>4.3572050243000475E-2</v>
      </c>
      <c r="AD79" s="113">
        <f>IFERROR(VLOOKUP($A79,'[37](901__COLLATERAL_TYPE'!$A$2:$C$30,3,FALSE),0)</f>
        <v>10153325.68</v>
      </c>
      <c r="AG79" s="65">
        <f t="shared" si="30"/>
        <v>4.4604951929119716E-2</v>
      </c>
      <c r="AH79" s="113">
        <f>IFERROR(VLOOKUP($A79,'[38](901__COLLATERAL_TYPE'!$A$1:$C$30,3,FALSE),0)</f>
        <v>11302379.359999999</v>
      </c>
      <c r="AK79" s="65">
        <f t="shared" si="31"/>
        <v>4.4109890069390228E-2</v>
      </c>
      <c r="AL79" s="113">
        <f>VLOOKUP(A79,'[39](901__COLLATERAL_TYPE'!$A$2:$C$30,3,0)</f>
        <v>12768982.449999999</v>
      </c>
      <c r="AO79" s="65">
        <v>4.4133610904024519E-2</v>
      </c>
      <c r="AP79" s="113">
        <v>14259835.159999993</v>
      </c>
    </row>
    <row r="80" spans="1:43">
      <c r="A80" s="105" t="s">
        <v>125</v>
      </c>
      <c r="B80" s="5" t="s">
        <v>125</v>
      </c>
      <c r="E80" s="65">
        <f t="shared" si="32"/>
        <v>0</v>
      </c>
      <c r="F80" s="113">
        <f>IFERROR(VLOOKUP($A80,[34]Collateral!$A$2:$C$32,3,FALSE),0)</f>
        <v>0</v>
      </c>
      <c r="G80" s="5"/>
      <c r="I80" s="65">
        <v>0</v>
      </c>
      <c r="J80" s="113">
        <v>0</v>
      </c>
      <c r="K80" s="5"/>
      <c r="M80" s="65">
        <v>0</v>
      </c>
      <c r="N80" s="113">
        <v>0</v>
      </c>
      <c r="O80" s="5"/>
      <c r="Q80" s="65">
        <v>0</v>
      </c>
      <c r="R80" s="113">
        <v>0</v>
      </c>
      <c r="S80" s="5"/>
      <c r="U80" s="65">
        <f t="shared" si="27"/>
        <v>0</v>
      </c>
      <c r="V80" s="113">
        <f>IFERROR(VLOOKUP($A80,'[35]Collateral Type'!$A$2:$C$32,3,FALSE),0)</f>
        <v>0</v>
      </c>
      <c r="W80" s="5"/>
      <c r="Y80" s="65">
        <f t="shared" si="28"/>
        <v>0</v>
      </c>
      <c r="Z80" s="113">
        <f>IFERROR(VLOOKUP($A80,[36]Collateral!$A$2:$C$32,3,FALSE),0)</f>
        <v>0</v>
      </c>
      <c r="AA80" s="5"/>
      <c r="AC80" s="65">
        <f t="shared" si="29"/>
        <v>0</v>
      </c>
      <c r="AD80" s="113">
        <f>IFERROR(VLOOKUP($A80,'[37](901__COLLATERAL_TYPE'!$A$2:$C$30,3,FALSE),0)</f>
        <v>0</v>
      </c>
      <c r="AE80" s="5"/>
      <c r="AG80" s="65">
        <f t="shared" si="30"/>
        <v>0</v>
      </c>
      <c r="AH80" s="113">
        <f>IFERROR(VLOOKUP($A80,'[38](901__COLLATERAL_TYPE'!$A$1:$C$30,3,FALSE),0)</f>
        <v>0</v>
      </c>
      <c r="AI80" s="5"/>
      <c r="AK80" s="65">
        <f t="shared" si="31"/>
        <v>0</v>
      </c>
      <c r="AL80" s="113">
        <v>0</v>
      </c>
      <c r="AM80" s="5"/>
      <c r="AO80" s="65">
        <v>0</v>
      </c>
      <c r="AP80" s="113">
        <v>0</v>
      </c>
      <c r="AQ80" s="5"/>
    </row>
    <row r="81" spans="1:43">
      <c r="A81" s="105" t="s">
        <v>126</v>
      </c>
      <c r="B81" s="1" t="s">
        <v>126</v>
      </c>
      <c r="E81" s="65">
        <f t="shared" si="32"/>
        <v>0.2604033144637925</v>
      </c>
      <c r="F81" s="113">
        <f>IFERROR(VLOOKUP($A81,[34]Collateral!$A$2:$C$32,3,FALSE),0)</f>
        <v>25772871.400000013</v>
      </c>
      <c r="I81" s="65">
        <v>0.2598861148154179</v>
      </c>
      <c r="J81" s="113">
        <v>31813988.249999989</v>
      </c>
      <c r="M81" s="65">
        <v>0.26628864804086161</v>
      </c>
      <c r="N81" s="113">
        <v>36601537.079999976</v>
      </c>
      <c r="Q81" s="65">
        <v>0.25954348611115502</v>
      </c>
      <c r="R81" s="113">
        <v>40078425.000000007</v>
      </c>
      <c r="U81" s="65">
        <f t="shared" si="27"/>
        <v>0.26087988775193155</v>
      </c>
      <c r="V81" s="113">
        <f>IFERROR(VLOOKUP($A81,'[35]Collateral Type'!$A$2:$C$32,3,FALSE),0)</f>
        <v>48211371.540000007</v>
      </c>
      <c r="Y81" s="65">
        <f t="shared" si="28"/>
        <v>0.26555610847989097</v>
      </c>
      <c r="Z81" s="113">
        <f>IFERROR(VLOOKUP($A81,[36]Collateral!$A$2:$C$32,3,FALSE),0)</f>
        <v>56700620.460000038</v>
      </c>
      <c r="AC81" s="65">
        <f t="shared" si="29"/>
        <v>0.28122960801835961</v>
      </c>
      <c r="AD81" s="113">
        <f>IFERROR(VLOOKUP($A81,'[37](901__COLLATERAL_TYPE'!$A$2:$C$30,3,FALSE),0)</f>
        <v>65533198.119999997</v>
      </c>
      <c r="AG81" s="65">
        <f t="shared" si="30"/>
        <v>0.27799139575212517</v>
      </c>
      <c r="AH81" s="113">
        <f>IFERROR(VLOOKUP($A81,'[38](901__COLLATERAL_TYPE'!$A$1:$C$30,3,FALSE),0)</f>
        <v>70439807.189999998</v>
      </c>
      <c r="AK81" s="65">
        <f t="shared" si="31"/>
        <v>0.27694827574795527</v>
      </c>
      <c r="AL81" s="113">
        <f>VLOOKUP(A81,'[39](901__COLLATERAL_TYPE'!$A$2:$C$30,3,0)</f>
        <v>80171310.040000007</v>
      </c>
      <c r="AO81" s="65">
        <v>0.28219645343136407</v>
      </c>
      <c r="AP81" s="113">
        <v>91179371.600000069</v>
      </c>
    </row>
    <row r="82" spans="1:43">
      <c r="A82" s="105" t="s">
        <v>162</v>
      </c>
      <c r="B82" s="1" t="s">
        <v>162</v>
      </c>
      <c r="E82" s="65">
        <f t="shared" si="32"/>
        <v>1.378206447952551E-3</v>
      </c>
      <c r="F82" s="113">
        <f>IFERROR(VLOOKUP($A82,[34]Collateral!$A$2:$C$32,3,FALSE),0)</f>
        <v>136405.08999999997</v>
      </c>
      <c r="I82" s="65">
        <v>1.3687211094154514E-3</v>
      </c>
      <c r="J82" s="113">
        <v>167552.14999999997</v>
      </c>
      <c r="M82" s="65">
        <v>2.008008842018824E-3</v>
      </c>
      <c r="N82" s="113">
        <v>276002.03999999998</v>
      </c>
      <c r="Q82" s="65">
        <v>2.0430203667392934E-3</v>
      </c>
      <c r="R82" s="113">
        <v>315480.99999999994</v>
      </c>
      <c r="U82" s="65">
        <f t="shared" si="27"/>
        <v>2.1201199475668706E-3</v>
      </c>
      <c r="V82" s="113">
        <f>IFERROR(VLOOKUP($A82,'[35]Collateral Type'!$A$2:$C$32,3,FALSE),0)</f>
        <v>391804.40999999986</v>
      </c>
      <c r="Y82" s="65">
        <f t="shared" si="28"/>
        <v>2.361129254332454E-3</v>
      </c>
      <c r="Z82" s="113">
        <f>IFERROR(VLOOKUP($A82,[36]Collateral!$A$2:$C$32,3,FALSE),0)</f>
        <v>504140.13999999984</v>
      </c>
      <c r="AC82" s="65">
        <f t="shared" si="29"/>
        <v>2.4577276910340952E-3</v>
      </c>
      <c r="AD82" s="113">
        <f>IFERROR(VLOOKUP($A82,'[37](901__COLLATERAL_TYPE'!$A$2:$C$30,3,FALSE),0)</f>
        <v>572709.1</v>
      </c>
      <c r="AG82" s="65">
        <f t="shared" si="30"/>
        <v>2.8966048675080629E-3</v>
      </c>
      <c r="AH82" s="113">
        <f>IFERROR(VLOOKUP($A82,'[38](901__COLLATERAL_TYPE'!$A$1:$C$30,3,FALSE),0)</f>
        <v>733966.2</v>
      </c>
      <c r="AK82" s="65">
        <f t="shared" si="31"/>
        <v>2.9967690445290413E-3</v>
      </c>
      <c r="AL82" s="113">
        <f>VLOOKUP(A82,'[39](901__COLLATERAL_TYPE'!$A$2:$C$30,3,0)</f>
        <v>867508.2</v>
      </c>
      <c r="AO82" s="65">
        <v>3.0642053168856613E-3</v>
      </c>
      <c r="AP82" s="113">
        <v>990063.16999999981</v>
      </c>
    </row>
    <row r="83" spans="1:43">
      <c r="A83" s="107" t="s">
        <v>136</v>
      </c>
      <c r="B83" s="5" t="s">
        <v>136</v>
      </c>
      <c r="E83" s="65">
        <f t="shared" si="32"/>
        <v>1.1781844232570712E-3</v>
      </c>
      <c r="F83" s="113">
        <f>IFERROR(VLOOKUP($A83,[34]Collateral!$A$2:$C$32,3,FALSE),0)</f>
        <v>116608.32999999996</v>
      </c>
      <c r="G83" s="5"/>
      <c r="I83" s="65">
        <v>1.0889556538893487E-3</v>
      </c>
      <c r="J83" s="113">
        <v>133304.62999999995</v>
      </c>
      <c r="K83" s="5"/>
      <c r="M83" s="65">
        <v>1.0117213747635556E-3</v>
      </c>
      <c r="N83" s="113">
        <v>139061.71999999997</v>
      </c>
      <c r="O83" s="5"/>
      <c r="Q83" s="65">
        <v>1.8742267378119284E-3</v>
      </c>
      <c r="R83" s="113">
        <v>289416.06999999995</v>
      </c>
      <c r="S83" s="5"/>
      <c r="U83" s="65">
        <f t="shared" si="27"/>
        <v>1.6239080499973477E-3</v>
      </c>
      <c r="V83" s="113">
        <f>IFERROR(VLOOKUP($A83,'[35]Collateral Type'!$A$2:$C$32,3,FALSE),0)</f>
        <v>300102.99</v>
      </c>
      <c r="W83" s="5"/>
      <c r="Y83" s="65">
        <f t="shared" si="28"/>
        <v>1.4768369961076873E-3</v>
      </c>
      <c r="Z83" s="113">
        <f>IFERROR(VLOOKUP($A83,[36]Collateral!$A$2:$C$32,3,FALSE),0)</f>
        <v>315329.11999999988</v>
      </c>
      <c r="AA83" s="5"/>
      <c r="AC83" s="65">
        <f t="shared" si="29"/>
        <v>1.3757144108639673E-3</v>
      </c>
      <c r="AD83" s="113">
        <f>IFERROR(VLOOKUP($A83,'[37](901__COLLATERAL_TYPE'!$A$2:$C$30,3,FALSE),0)</f>
        <v>320574.23</v>
      </c>
      <c r="AE83" s="5"/>
      <c r="AG83" s="65">
        <f t="shared" si="30"/>
        <v>1.551789394703655E-3</v>
      </c>
      <c r="AH83" s="113">
        <f>IFERROR(VLOOKUP($A83,'[38](901__COLLATERAL_TYPE'!$A$1:$C$30,3,FALSE),0)</f>
        <v>393205.5</v>
      </c>
      <c r="AI83" s="5"/>
      <c r="AK83" s="65">
        <f t="shared" si="31"/>
        <v>1.3917200012923041E-3</v>
      </c>
      <c r="AL83" s="113">
        <f>VLOOKUP(A83,'[39](901__COLLATERAL_TYPE'!$A$2:$C$30,3,0)</f>
        <v>402876.73</v>
      </c>
      <c r="AM83" s="5"/>
      <c r="AO83" s="65">
        <v>1.2898619656246308E-3</v>
      </c>
      <c r="AP83" s="113">
        <v>416762.16000000003</v>
      </c>
      <c r="AQ83" s="5"/>
    </row>
    <row r="84" spans="1:43">
      <c r="A84" s="107" t="s">
        <v>148</v>
      </c>
      <c r="B84" s="1" t="s">
        <v>148</v>
      </c>
      <c r="E84" s="65">
        <f t="shared" si="32"/>
        <v>8.883088029640971E-3</v>
      </c>
      <c r="F84" s="113">
        <f>IFERROR(VLOOKUP($A84,[34]Collateral!$A$2:$C$32,3,FALSE),0)</f>
        <v>879184.99</v>
      </c>
      <c r="I84" s="65">
        <v>8.0629865180667486E-3</v>
      </c>
      <c r="J84" s="113">
        <v>987031.41</v>
      </c>
      <c r="M84" s="65">
        <v>7.8902999475079314E-3</v>
      </c>
      <c r="N84" s="113">
        <v>1084526.54</v>
      </c>
      <c r="Q84" s="65">
        <v>7.6364346069412699E-3</v>
      </c>
      <c r="R84" s="113">
        <v>1179209.99</v>
      </c>
      <c r="U84" s="65">
        <f t="shared" si="27"/>
        <v>6.9074379210094438E-3</v>
      </c>
      <c r="V84" s="113">
        <f>IFERROR(VLOOKUP($A84,'[35]Collateral Type'!$A$2:$C$32,3,FALSE),0)</f>
        <v>1276514.8700000001</v>
      </c>
      <c r="Y84" s="65">
        <f t="shared" si="28"/>
        <v>6.3717047117642931E-3</v>
      </c>
      <c r="Z84" s="113">
        <f>IFERROR(VLOOKUP($A84,[36]Collateral!$A$2:$C$32,3,FALSE),0)</f>
        <v>1360464.32</v>
      </c>
      <c r="AC84" s="65">
        <f t="shared" si="29"/>
        <v>6.2104831925724746E-3</v>
      </c>
      <c r="AD84" s="113">
        <f>IFERROR(VLOOKUP($A84,'[37](901__COLLATERAL_TYPE'!$A$2:$C$30,3,FALSE),0)</f>
        <v>1447190.53</v>
      </c>
      <c r="AG84" s="65">
        <f t="shared" si="30"/>
        <v>6.0437483508282526E-3</v>
      </c>
      <c r="AH84" s="113">
        <f>IFERROR(VLOOKUP($A84,'[38](901__COLLATERAL_TYPE'!$A$1:$C$30,3,FALSE),0)</f>
        <v>1531415.99</v>
      </c>
      <c r="AK84" s="65">
        <f t="shared" si="31"/>
        <v>5.5727731001092122E-3</v>
      </c>
      <c r="AL84" s="113">
        <f>VLOOKUP(A84,'[39](901__COLLATERAL_TYPE'!$A$2:$C$30,3,0)</f>
        <v>1613212.86</v>
      </c>
      <c r="AO84" s="65">
        <v>5.2386869010420433E-3</v>
      </c>
      <c r="AP84" s="113">
        <v>1692651.25</v>
      </c>
    </row>
    <row r="85" spans="1:43">
      <c r="A85" s="105" t="s">
        <v>131</v>
      </c>
      <c r="B85" s="1" t="s">
        <v>131</v>
      </c>
      <c r="E85" s="65">
        <f t="shared" si="32"/>
        <v>4.4413010291161632E-2</v>
      </c>
      <c r="F85" s="113">
        <f>IFERROR(VLOOKUP($A85,[34]Collateral!$A$2:$C$32,3,FALSE),0)</f>
        <v>4395684.46</v>
      </c>
      <c r="I85" s="65">
        <v>4.6297211321142007E-2</v>
      </c>
      <c r="J85" s="113">
        <v>5667478.379999998</v>
      </c>
      <c r="M85" s="65">
        <v>4.4064063628724857E-2</v>
      </c>
      <c r="N85" s="113">
        <v>6056632.4199999971</v>
      </c>
      <c r="Q85" s="65">
        <v>4.267288198964854E-2</v>
      </c>
      <c r="R85" s="113">
        <v>6589500.379999998</v>
      </c>
      <c r="U85" s="65">
        <f t="shared" si="27"/>
        <v>4.4247359160469096E-2</v>
      </c>
      <c r="V85" s="113">
        <f>IFERROR(VLOOKUP($A85,'[35]Collateral Type'!$A$2:$C$32,3,FALSE),0)</f>
        <v>8177042.2799999993</v>
      </c>
      <c r="Y85" s="65">
        <f t="shared" si="28"/>
        <v>4.6534590177276444E-2</v>
      </c>
      <c r="Z85" s="113">
        <f>IFERROR(VLOOKUP($A85,[36]Collateral!$A$2:$C$32,3,FALSE),0)</f>
        <v>9935904.5099999979</v>
      </c>
      <c r="AC85" s="65">
        <f t="shared" si="29"/>
        <v>4.4268153879992576E-2</v>
      </c>
      <c r="AD85" s="113">
        <f>IFERROR(VLOOKUP($A85,'[37](901__COLLATERAL_TYPE'!$A$2:$C$30,3,FALSE),0)</f>
        <v>10315534.41</v>
      </c>
      <c r="AG85" s="65">
        <f t="shared" si="30"/>
        <v>4.2655748948989221E-2</v>
      </c>
      <c r="AH85" s="113">
        <f>IFERROR(VLOOKUP($A85,'[38](901__COLLATERAL_TYPE'!$A$1:$C$30,3,FALSE),0)</f>
        <v>10808473.85</v>
      </c>
      <c r="AK85" s="65">
        <f t="shared" si="31"/>
        <v>4.2023937686287961E-2</v>
      </c>
      <c r="AL85" s="113">
        <f>VLOOKUP(A85,'[39](901__COLLATERAL_TYPE'!$A$2:$C$30,3,0)</f>
        <v>12165138.52</v>
      </c>
      <c r="AO85" s="65">
        <v>4.2450125254600887E-2</v>
      </c>
      <c r="AP85" s="113">
        <v>13715890.819999991</v>
      </c>
    </row>
    <row r="86" spans="1:43">
      <c r="A86" s="105" t="s">
        <v>123</v>
      </c>
      <c r="B86" s="1" t="s">
        <v>123</v>
      </c>
      <c r="E86" s="65">
        <f t="shared" si="32"/>
        <v>3.0771965625068123E-3</v>
      </c>
      <c r="F86" s="113">
        <f>IFERROR(VLOOKUP($A86,[34]Collateral!$A$2:$C$32,3,FALSE),0)</f>
        <v>304559.06999999995</v>
      </c>
      <c r="I86" s="65">
        <v>2.6906542868931006E-3</v>
      </c>
      <c r="J86" s="113">
        <v>329376.75</v>
      </c>
      <c r="M86" s="65">
        <v>2.4448963178041816E-3</v>
      </c>
      <c r="N86" s="113">
        <v>336052.49</v>
      </c>
      <c r="Q86" s="65">
        <v>2.4004247557210122E-3</v>
      </c>
      <c r="R86" s="113">
        <v>370671</v>
      </c>
      <c r="U86" s="65">
        <f t="shared" si="27"/>
        <v>2.3663722462376933E-3</v>
      </c>
      <c r="V86" s="113">
        <f>IFERROR(VLOOKUP($A86,'[35]Collateral Type'!$A$2:$C$32,3,FALSE),0)</f>
        <v>437312.55999999994</v>
      </c>
      <c r="Y86" s="65">
        <f t="shared" si="28"/>
        <v>2.1656254271577805E-3</v>
      </c>
      <c r="Z86" s="113">
        <f>IFERROR(VLOOKUP($A86,[36]Collateral!$A$2:$C$32,3,FALSE),0)</f>
        <v>462396.83999999991</v>
      </c>
      <c r="AC86" s="65">
        <f t="shared" si="29"/>
        <v>2.0261849451598127E-3</v>
      </c>
      <c r="AD86" s="113">
        <f>IFERROR(VLOOKUP($A86,'[37](901__COLLATERAL_TYPE'!$A$2:$C$30,3,FALSE),0)</f>
        <v>472149.36</v>
      </c>
      <c r="AG86" s="65">
        <f t="shared" si="30"/>
        <v>1.9857962432522041E-3</v>
      </c>
      <c r="AH86" s="113">
        <f>IFERROR(VLOOKUP($A86,'[38](901__COLLATERAL_TYPE'!$A$1:$C$30,3,FALSE),0)</f>
        <v>503177.82</v>
      </c>
      <c r="AK86" s="65">
        <f t="shared" si="31"/>
        <v>2.0593621213526102E-3</v>
      </c>
      <c r="AL86" s="113">
        <f>VLOOKUP(A86,'[39](901__COLLATERAL_TYPE'!$A$2:$C$30,3,0)</f>
        <v>596146.55000000005</v>
      </c>
      <c r="AO86" s="65">
        <v>1.8682308326557484E-3</v>
      </c>
      <c r="AP86" s="113">
        <v>603636.62</v>
      </c>
    </row>
    <row r="87" spans="1:43">
      <c r="A87" s="105" t="s">
        <v>149</v>
      </c>
      <c r="B87" s="1" t="s">
        <v>149</v>
      </c>
      <c r="E87" s="65">
        <f t="shared" si="32"/>
        <v>3.44940925625549E-3</v>
      </c>
      <c r="F87" s="113">
        <f>IFERROR(VLOOKUP($A87,[34]Collateral!$A$2:$C$32,3,FALSE),0)</f>
        <v>341398.0400000001</v>
      </c>
      <c r="I87" s="65">
        <v>3.1366350847348698E-3</v>
      </c>
      <c r="J87" s="113">
        <v>383971.5400000001</v>
      </c>
      <c r="M87" s="65">
        <v>6.1107372362493063E-3</v>
      </c>
      <c r="N87" s="113">
        <v>839924.56</v>
      </c>
      <c r="Q87" s="65">
        <v>7.0159759250279482E-3</v>
      </c>
      <c r="R87" s="113">
        <v>1083399.4300000002</v>
      </c>
      <c r="U87" s="65">
        <f t="shared" si="27"/>
        <v>6.2409148847017946E-3</v>
      </c>
      <c r="V87" s="113">
        <f>IFERROR(VLOOKUP($A87,'[35]Collateral Type'!$A$2:$C$32,3,FALSE),0)</f>
        <v>1153339.4500000002</v>
      </c>
      <c r="Y87" s="65">
        <f t="shared" si="28"/>
        <v>5.7232005142048171E-3</v>
      </c>
      <c r="Z87" s="113">
        <f>IFERROR(VLOOKUP($A87,[36]Collateral!$A$2:$C$32,3,FALSE),0)</f>
        <v>1221997.95</v>
      </c>
      <c r="AC87" s="65">
        <f t="shared" si="29"/>
        <v>5.570499826408306E-3</v>
      </c>
      <c r="AD87" s="113">
        <f>IFERROR(VLOOKUP($A87,'[37](901__COLLATERAL_TYPE'!$A$2:$C$30,3,FALSE),0)</f>
        <v>1298059.1599999999</v>
      </c>
      <c r="AG87" s="65">
        <f t="shared" si="30"/>
        <v>5.4251539998732686E-3</v>
      </c>
      <c r="AH87" s="113">
        <f>IFERROR(VLOOKUP($A87,'[38](901__COLLATERAL_TYPE'!$A$1:$C$30,3,FALSE),0)</f>
        <v>1374671.33</v>
      </c>
      <c r="AK87" s="65">
        <f t="shared" si="31"/>
        <v>6.2799601070504096E-3</v>
      </c>
      <c r="AL87" s="113">
        <f>VLOOKUP(A87,'[39](901__COLLATERAL_TYPE'!$A$2:$C$30,3,0)</f>
        <v>1817930.18</v>
      </c>
      <c r="AO87" s="65">
        <v>6.3405272665624686E-3</v>
      </c>
      <c r="AP87" s="113">
        <v>2048662.5000000002</v>
      </c>
    </row>
    <row r="88" spans="1:43">
      <c r="A88" s="105" t="s">
        <v>150</v>
      </c>
      <c r="B88" s="1" t="s">
        <v>150</v>
      </c>
      <c r="E88" s="65">
        <f t="shared" si="32"/>
        <v>2.3608382012223841E-2</v>
      </c>
      <c r="F88" s="113">
        <f>IFERROR(VLOOKUP($A88,[34]Collateral!$A$2:$C$32,3,FALSE),0)</f>
        <v>2336590.0499999998</v>
      </c>
      <c r="I88" s="65">
        <v>2.3856438439558425E-2</v>
      </c>
      <c r="J88" s="113">
        <v>2920388.6199999996</v>
      </c>
      <c r="M88" s="65">
        <v>2.4128959868960829E-2</v>
      </c>
      <c r="N88" s="113">
        <v>3316540.25</v>
      </c>
      <c r="Q88" s="65">
        <v>2.3787371672777134E-2</v>
      </c>
      <c r="R88" s="113">
        <v>3673220.26</v>
      </c>
      <c r="U88" s="65">
        <f t="shared" si="27"/>
        <v>2.5063884132105762E-2</v>
      </c>
      <c r="V88" s="113">
        <f>IFERROR(VLOOKUP($A88,'[35]Collateral Type'!$A$2:$C$32,3,FALSE),0)</f>
        <v>4631879.5999999996</v>
      </c>
      <c r="Y88" s="65">
        <f t="shared" si="28"/>
        <v>2.424615109988915E-2</v>
      </c>
      <c r="Z88" s="113">
        <f>IFERROR(VLOOKUP($A88,[36]Collateral!$A$2:$C$32,3,FALSE),0)</f>
        <v>5176954.2</v>
      </c>
      <c r="AC88" s="65">
        <f t="shared" si="29"/>
        <v>2.3818433550540596E-2</v>
      </c>
      <c r="AD88" s="113">
        <f>IFERROR(VLOOKUP($A88,'[37](901__COLLATERAL_TYPE'!$A$2:$C$30,3,FALSE),0)</f>
        <v>5550262.4199999999</v>
      </c>
      <c r="AG88" s="65">
        <f t="shared" si="30"/>
        <v>2.4922400140090898E-2</v>
      </c>
      <c r="AH88" s="113">
        <f>IFERROR(VLOOKUP($A88,'[38](901__COLLATERAL_TYPE'!$A$1:$C$30,3,FALSE),0)</f>
        <v>6315048.1900000004</v>
      </c>
      <c r="AK88" s="65">
        <f t="shared" si="31"/>
        <v>2.341499791547131E-2</v>
      </c>
      <c r="AL88" s="113">
        <f>VLOOKUP(A88,'[39](901__COLLATERAL_TYPE'!$A$2:$C$30,3,0)</f>
        <v>6778200.9199999999</v>
      </c>
      <c r="AO88" s="65">
        <v>2.2279524363903111E-2</v>
      </c>
      <c r="AP88" s="113">
        <v>7198648.3400000017</v>
      </c>
    </row>
    <row r="89" spans="1:43">
      <c r="A89" s="105" t="s">
        <v>151</v>
      </c>
      <c r="B89" s="1" t="s">
        <v>151</v>
      </c>
      <c r="E89" s="65">
        <f t="shared" si="32"/>
        <v>9.2169209247697041E-4</v>
      </c>
      <c r="F89" s="113">
        <f>IFERROR(VLOOKUP($A89,[34]Collateral!$A$2:$C$32,3,FALSE),0)</f>
        <v>91222.53999999995</v>
      </c>
      <c r="I89" s="65">
        <v>1.4174729328456312E-3</v>
      </c>
      <c r="J89" s="113">
        <v>173520.10999999996</v>
      </c>
      <c r="M89" s="65">
        <v>1.9547711007977687E-3</v>
      </c>
      <c r="N89" s="113">
        <v>268684.47999999992</v>
      </c>
      <c r="Q89" s="65">
        <v>1.8834941254708556E-3</v>
      </c>
      <c r="R89" s="113">
        <v>290847.13</v>
      </c>
      <c r="U89" s="65">
        <f t="shared" si="27"/>
        <v>2.0335993566607266E-3</v>
      </c>
      <c r="V89" s="113">
        <f>IFERROR(VLOOKUP($A89,'[35]Collateral Type'!$A$2:$C$32,3,FALSE),0)</f>
        <v>375815.14999999985</v>
      </c>
      <c r="Y89" s="65">
        <f t="shared" si="28"/>
        <v>1.8672429640384455E-3</v>
      </c>
      <c r="Z89" s="113">
        <f>IFERROR(VLOOKUP($A89,[36]Collateral!$A$2:$C$32,3,FALSE),0)</f>
        <v>398687.24999999994</v>
      </c>
      <c r="AC89" s="65">
        <f t="shared" si="29"/>
        <v>2.5974167997296002E-3</v>
      </c>
      <c r="AD89" s="113">
        <f>IFERROR(VLOOKUP($A89,'[37](901__COLLATERAL_TYPE'!$A$2:$C$30,3,FALSE),0)</f>
        <v>605259.99</v>
      </c>
      <c r="AG89" s="65">
        <f t="shared" si="30"/>
        <v>2.6041245994405768E-3</v>
      </c>
      <c r="AH89" s="113">
        <f>IFERROR(VLOOKUP($A89,'[38](901__COLLATERAL_TYPE'!$A$1:$C$30,3,FALSE),0)</f>
        <v>659855.07999999996</v>
      </c>
      <c r="AK89" s="65">
        <f t="shared" si="31"/>
        <v>2.6235812093775577E-3</v>
      </c>
      <c r="AL89" s="113">
        <f>VLOOKUP(A89,'[39](901__COLLATERAL_TYPE'!$A$2:$C$30,3,0)</f>
        <v>759477.35</v>
      </c>
      <c r="AO89" s="65">
        <v>2.4637497053741791E-3</v>
      </c>
      <c r="AP89" s="113">
        <v>796052.35000000009</v>
      </c>
    </row>
    <row r="90" spans="1:43">
      <c r="A90" s="105" t="s">
        <v>124</v>
      </c>
      <c r="B90" s="1" t="s">
        <v>124</v>
      </c>
      <c r="E90" s="65">
        <f t="shared" si="32"/>
        <v>1.8706573069830262E-3</v>
      </c>
      <c r="F90" s="113">
        <f>IFERROR(VLOOKUP($A90,[34]Collateral!$A$2:$C$32,3,FALSE),0)</f>
        <v>185144.37999999995</v>
      </c>
      <c r="I90" s="65">
        <v>1.6452356591626488E-3</v>
      </c>
      <c r="J90" s="113">
        <v>201401.70999999996</v>
      </c>
      <c r="M90" s="65">
        <v>1.7963170203289373E-3</v>
      </c>
      <c r="N90" s="113">
        <v>246904.86999999994</v>
      </c>
      <c r="Q90" s="65">
        <v>1.8928747764521828E-3</v>
      </c>
      <c r="R90" s="113">
        <v>292295.67999999993</v>
      </c>
      <c r="U90" s="65">
        <f t="shared" si="27"/>
        <v>1.9365143778314533E-3</v>
      </c>
      <c r="V90" s="113">
        <f>IFERROR(VLOOKUP($A90,'[35]Collateral Type'!$A$2:$C$32,3,FALSE),0)</f>
        <v>357873.56</v>
      </c>
      <c r="Y90" s="65">
        <f t="shared" si="28"/>
        <v>1.8241990379714293E-3</v>
      </c>
      <c r="Z90" s="113">
        <f>IFERROR(VLOOKUP($A90,[36]Collateral!$A$2:$C$32,3,FALSE),0)</f>
        <v>389496.66</v>
      </c>
      <c r="AC90" s="65">
        <f t="shared" si="29"/>
        <v>1.7636117049011409E-3</v>
      </c>
      <c r="AD90" s="113">
        <f>IFERROR(VLOOKUP($A90,'[37](901__COLLATERAL_TYPE'!$A$2:$C$30,3,FALSE),0)</f>
        <v>410963.54</v>
      </c>
      <c r="AG90" s="65">
        <f t="shared" si="30"/>
        <v>1.76563063846316E-3</v>
      </c>
      <c r="AH90" s="113">
        <f>IFERROR(VLOOKUP($A90,'[38](901__COLLATERAL_TYPE'!$A$1:$C$30,3,FALSE),0)</f>
        <v>447390.4</v>
      </c>
      <c r="AK90" s="65">
        <f t="shared" si="31"/>
        <v>1.7654048290513924E-3</v>
      </c>
      <c r="AL90" s="113">
        <f>VLOOKUP(A90,'[39](901__COLLATERAL_TYPE'!$A$2:$C$30,3,0)</f>
        <v>511051.45</v>
      </c>
      <c r="AO90" s="65">
        <v>1.7250943145780547E-3</v>
      </c>
      <c r="AP90" s="113">
        <v>557388.35</v>
      </c>
    </row>
    <row r="91" spans="1:43">
      <c r="A91" s="105" t="s">
        <v>79</v>
      </c>
      <c r="B91" s="1" t="s">
        <v>79</v>
      </c>
      <c r="E91" s="65">
        <f t="shared" si="32"/>
        <v>8.1998921297454317E-3</v>
      </c>
      <c r="F91" s="113">
        <f>IFERROR(VLOOKUP($A91,[34]Collateral!$A$2:$C$32,3,FALSE),0)</f>
        <v>811567.10999999987</v>
      </c>
      <c r="I91" s="65">
        <v>8.1369497709601977E-3</v>
      </c>
      <c r="J91" s="113">
        <v>996085.62999999966</v>
      </c>
      <c r="M91" s="65">
        <v>8.1399024049103093E-3</v>
      </c>
      <c r="N91" s="113">
        <v>1118834.5499999996</v>
      </c>
      <c r="Q91" s="65">
        <v>8.8387576069879834E-3</v>
      </c>
      <c r="R91" s="113">
        <v>1364871.4099999997</v>
      </c>
      <c r="U91" s="65">
        <f t="shared" si="27"/>
        <v>9.3621690946584443E-3</v>
      </c>
      <c r="V91" s="113">
        <f>IFERROR(VLOOKUP($A91,'[35]Collateral Type'!$A$2:$C$32,3,FALSE),0)</f>
        <v>1730156.42</v>
      </c>
      <c r="Y91" s="65">
        <f t="shared" si="28"/>
        <v>9.5731215295776894E-3</v>
      </c>
      <c r="Z91" s="113">
        <f>IFERROR(VLOOKUP($A91,[36]Collateral!$A$2:$C$32,3,FALSE),0)</f>
        <v>2044019.75</v>
      </c>
      <c r="AC91" s="65">
        <f t="shared" si="29"/>
        <v>9.0925886538759104E-3</v>
      </c>
      <c r="AD91" s="113">
        <f>IFERROR(VLOOKUP($A91,'[37](901__COLLATERAL_TYPE'!$A$2:$C$30,3,FALSE),0)</f>
        <v>2118789.7599999998</v>
      </c>
      <c r="AG91" s="65">
        <f t="shared" si="30"/>
        <v>9.1287746761710611E-3</v>
      </c>
      <c r="AH91" s="113">
        <f>IFERROR(VLOOKUP($A91,'[38](901__COLLATERAL_TYPE'!$A$1:$C$30,3,FALSE),0)</f>
        <v>2313126.0099999998</v>
      </c>
      <c r="AK91" s="65">
        <f t="shared" si="31"/>
        <v>9.6445261697164671E-3</v>
      </c>
      <c r="AL91" s="113">
        <f>VLOOKUP(A91,'[39](901__COLLATERAL_TYPE'!$A$2:$C$30,3,0)</f>
        <v>2791908.69</v>
      </c>
      <c r="AO91" s="65">
        <v>9.5570438301276674E-3</v>
      </c>
      <c r="AP91" s="113">
        <v>3087938.3500000006</v>
      </c>
    </row>
    <row r="92" spans="1:43">
      <c r="A92" s="105" t="s">
        <v>224</v>
      </c>
      <c r="B92" s="1" t="s">
        <v>225</v>
      </c>
      <c r="E92" s="65">
        <f t="shared" si="32"/>
        <v>4.1018366328823752E-3</v>
      </c>
      <c r="F92" s="113">
        <f>IFERROR(VLOOKUP($A92,[34]Collateral!$A$2:$C$32,3,FALSE),0)</f>
        <v>405970.67</v>
      </c>
      <c r="I92" s="65">
        <v>4.0993420299938691E-3</v>
      </c>
      <c r="J92" s="113">
        <v>501821.42</v>
      </c>
      <c r="M92" s="65">
        <v>3.9604050533907746E-3</v>
      </c>
      <c r="N92" s="113">
        <v>544360.09</v>
      </c>
      <c r="Q92" s="65">
        <v>3.7833109268714106E-3</v>
      </c>
      <c r="R92" s="113">
        <v>584214.79</v>
      </c>
      <c r="U92" s="65">
        <f t="shared" si="27"/>
        <v>4.6751137550337923E-3</v>
      </c>
      <c r="V92" s="113">
        <f>IFERROR(VLOOKUP($A92,'[35]Collateral Type'!$A$2:$C$32,3,FALSE),0)</f>
        <v>863974.79000000039</v>
      </c>
      <c r="Y92" s="65">
        <f t="shared" si="28"/>
        <v>4.9817788295533835E-3</v>
      </c>
      <c r="Z92" s="113">
        <f>IFERROR(VLOOKUP($A92,[36]Collateral!$A$2:$C$32,3,FALSE),0)</f>
        <v>1063692.1600000004</v>
      </c>
      <c r="AC92" s="65">
        <f t="shared" si="29"/>
        <v>4.6379760263309039E-3</v>
      </c>
      <c r="AD92" s="113">
        <f>IFERROR(VLOOKUP($A92,'[37](901__COLLATERAL_TYPE'!$A$2:$C$30,3,FALSE),0)</f>
        <v>1080758.8999999999</v>
      </c>
      <c r="AG92" s="65">
        <f t="shared" si="30"/>
        <v>4.6867232446551697E-3</v>
      </c>
      <c r="AH92" s="113">
        <f>IFERROR(VLOOKUP($A92,'[38](901__COLLATERAL_TYPE'!$A$1:$C$30,3,FALSE),0)</f>
        <v>1187561.51</v>
      </c>
      <c r="AK92" s="65">
        <f t="shared" si="31"/>
        <v>5.3936327762264796E-3</v>
      </c>
      <c r="AL92" s="113">
        <f>VLOOKUP(A92,'[39](901__COLLATERAL_TYPE'!$A$2:$C$30,3,0)</f>
        <v>1561355.11</v>
      </c>
      <c r="AO92" s="65">
        <v>5.5184322654732079E-3</v>
      </c>
      <c r="AP92" s="113">
        <v>1783038.66</v>
      </c>
    </row>
    <row r="93" spans="1:43">
      <c r="A93" s="105" t="s">
        <v>152</v>
      </c>
      <c r="B93" s="1" t="s">
        <v>152</v>
      </c>
      <c r="E93" s="65">
        <f t="shared" si="32"/>
        <v>1.0709886462460794E-2</v>
      </c>
      <c r="F93" s="113">
        <f>IFERROR(VLOOKUP($A93,[34]Collateral!$A$2:$C$32,3,FALSE),0)</f>
        <v>1059988.5299999998</v>
      </c>
      <c r="I93" s="65">
        <v>1.1075253462618756E-2</v>
      </c>
      <c r="J93" s="113">
        <v>1355778.4100000001</v>
      </c>
      <c r="M93" s="65">
        <v>1.0140564899024183E-2</v>
      </c>
      <c r="N93" s="113">
        <v>1393826.83</v>
      </c>
      <c r="Q93" s="65">
        <v>9.4273124912470623E-3</v>
      </c>
      <c r="R93" s="113">
        <v>1455755.42</v>
      </c>
      <c r="U93" s="65">
        <f t="shared" si="27"/>
        <v>8.6665929499121167E-3</v>
      </c>
      <c r="V93" s="113">
        <f>IFERROR(VLOOKUP($A93,'[35]Collateral Type'!$A$2:$C$32,3,FALSE),0)</f>
        <v>1601611.8999999997</v>
      </c>
      <c r="Y93" s="65">
        <f t="shared" si="28"/>
        <v>8.9931236419161908E-3</v>
      </c>
      <c r="Z93" s="113">
        <f>IFERROR(VLOOKUP($A93,[36]Collateral!$A$2:$C$32,3,FALSE),0)</f>
        <v>1920180.61</v>
      </c>
      <c r="AC93" s="65">
        <f t="shared" si="29"/>
        <v>1.0243082657875211E-2</v>
      </c>
      <c r="AD93" s="113">
        <f>IFERROR(VLOOKUP($A93,'[37](901__COLLATERAL_TYPE'!$A$2:$C$30,3,FALSE),0)</f>
        <v>2386882.27</v>
      </c>
      <c r="AG93" s="65">
        <f t="shared" si="30"/>
        <v>9.9362628427295731E-3</v>
      </c>
      <c r="AH93" s="113">
        <f>IFERROR(VLOOKUP($A93,'[38](901__COLLATERAL_TYPE'!$A$1:$C$30,3,FALSE),0)</f>
        <v>2517734.1800000002</v>
      </c>
      <c r="AK93" s="65">
        <f t="shared" si="31"/>
        <v>9.4997727460452812E-3</v>
      </c>
      <c r="AL93" s="113">
        <f>VLOOKUP(A93,'[39](901__COLLATERAL_TYPE'!$A$2:$C$30,3,0)</f>
        <v>2750005.3</v>
      </c>
      <c r="AO93" s="65">
        <v>9.5918067545800959E-3</v>
      </c>
      <c r="AP93" s="113">
        <v>3099170.46</v>
      </c>
    </row>
    <row r="94" spans="1:43">
      <c r="A94" s="105" t="s">
        <v>80</v>
      </c>
      <c r="B94" s="1" t="s">
        <v>80</v>
      </c>
      <c r="E94" s="65">
        <f t="shared" si="32"/>
        <v>1.7938193044429057E-4</v>
      </c>
      <c r="F94" s="113">
        <f>IFERROR(VLOOKUP($A94,[34]Collateral!$A$2:$C$32,3,FALSE),0)</f>
        <v>17753.949999999997</v>
      </c>
      <c r="I94" s="65">
        <v>2.0721812257098028E-4</v>
      </c>
      <c r="J94" s="113">
        <v>25366.629999999997</v>
      </c>
      <c r="M94" s="65">
        <v>1.8455087263927455E-4</v>
      </c>
      <c r="N94" s="113">
        <v>25366.629999999997</v>
      </c>
      <c r="Q94" s="65">
        <v>2.8400697143326158E-4</v>
      </c>
      <c r="R94" s="113">
        <v>43856.049999999996</v>
      </c>
      <c r="U94" s="65">
        <f t="shared" si="27"/>
        <v>2.3731250607028666E-4</v>
      </c>
      <c r="V94" s="113">
        <f>IFERROR(VLOOKUP($A94,'[35]Collateral Type'!$A$2:$C$32,3,FALSE),0)</f>
        <v>43856.049999999996</v>
      </c>
      <c r="Y94" s="65">
        <f t="shared" si="28"/>
        <v>2.3760932475493953E-4</v>
      </c>
      <c r="Z94" s="113">
        <f>IFERROR(VLOOKUP($A94,[36]Collateral!$A$2:$C$32,3,FALSE),0)</f>
        <v>50733.52</v>
      </c>
      <c r="AC94" s="65">
        <f t="shared" si="29"/>
        <v>2.1771816960413598E-4</v>
      </c>
      <c r="AD94" s="113">
        <f>IFERROR(VLOOKUP($A94,'[37](901__COLLATERAL_TYPE'!$A$2:$C$30,3,FALSE),0)</f>
        <v>50733.52</v>
      </c>
      <c r="AG94" s="65">
        <f t="shared" si="30"/>
        <v>2.6630527801010316E-4</v>
      </c>
      <c r="AH94" s="113">
        <f>IFERROR(VLOOKUP($A94,'[38](901__COLLATERAL_TYPE'!$A$1:$C$30,3,FALSE),0)</f>
        <v>67478.679999999993</v>
      </c>
      <c r="AK94" s="65">
        <f t="shared" si="31"/>
        <v>2.3790891384320255E-4</v>
      </c>
      <c r="AL94" s="113">
        <f>VLOOKUP(A94,'[39](901__COLLATERAL_TYPE'!$A$2:$C$30,3,0)</f>
        <v>68870.149999999994</v>
      </c>
      <c r="AO94" s="65">
        <v>2.4620999372647703E-4</v>
      </c>
      <c r="AP94" s="113">
        <v>79551.929999999993</v>
      </c>
    </row>
    <row r="95" spans="1:43">
      <c r="A95" s="105" t="s">
        <v>76</v>
      </c>
      <c r="B95" s="1" t="s">
        <v>76</v>
      </c>
      <c r="E95" s="65">
        <f t="shared" si="32"/>
        <v>8.1608199193696131E-3</v>
      </c>
      <c r="F95" s="113">
        <f>IFERROR(VLOOKUP($A95,[34]Collateral!$A$2:$C$32,3,FALSE),0)</f>
        <v>807700.02</v>
      </c>
      <c r="I95" s="65">
        <v>7.7637744441341975E-3</v>
      </c>
      <c r="J95" s="113">
        <v>950403.33000000007</v>
      </c>
      <c r="M95" s="65">
        <v>7.3522093558460238E-3</v>
      </c>
      <c r="N95" s="113">
        <v>1010565.6599999999</v>
      </c>
      <c r="Q95" s="65">
        <v>7.5536728576551934E-3</v>
      </c>
      <c r="R95" s="113">
        <v>1166430.01</v>
      </c>
      <c r="U95" s="65">
        <f t="shared" si="27"/>
        <v>7.3482322493315568E-3</v>
      </c>
      <c r="V95" s="113">
        <f>IFERROR(VLOOKUP($A95,'[35]Collateral Type'!$A$2:$C$32,3,FALSE),0)</f>
        <v>1357974.9599999997</v>
      </c>
      <c r="Y95" s="65">
        <f t="shared" si="28"/>
        <v>7.5162876761736648E-3</v>
      </c>
      <c r="Z95" s="113">
        <f>IFERROR(VLOOKUP($A95,[36]Collateral!$A$2:$C$32,3,FALSE),0)</f>
        <v>1604851.7100000004</v>
      </c>
      <c r="AC95" s="65">
        <f t="shared" si="29"/>
        <v>7.1798056337776485E-3</v>
      </c>
      <c r="AD95" s="113">
        <f>IFERROR(VLOOKUP($A95,'[37](901__COLLATERAL_TYPE'!$A$2:$C$30,3,FALSE),0)</f>
        <v>1673065.75</v>
      </c>
      <c r="AG95" s="65">
        <f t="shared" si="30"/>
        <v>7.1254240412056353E-3</v>
      </c>
      <c r="AH95" s="113">
        <f>IFERROR(VLOOKUP($A95,'[38](901__COLLATERAL_TYPE'!$A$1:$C$30,3,FALSE),0)</f>
        <v>1805500.11</v>
      </c>
      <c r="AK95" s="65">
        <f t="shared" si="31"/>
        <v>6.9263234335175472E-3</v>
      </c>
      <c r="AL95" s="113">
        <f>VLOOKUP(A95,'[39](901__COLLATERAL_TYPE'!$A$2:$C$30,3,0)</f>
        <v>2005040.19</v>
      </c>
      <c r="AO95" s="65">
        <v>7.0371311344632845E-3</v>
      </c>
      <c r="AP95" s="113">
        <v>2273739.4000000004</v>
      </c>
    </row>
    <row r="96" spans="1:43">
      <c r="A96" s="105" t="s">
        <v>153</v>
      </c>
      <c r="B96" s="1" t="s">
        <v>153</v>
      </c>
      <c r="E96" s="65">
        <f t="shared" si="32"/>
        <v>6.413498898443319E-3</v>
      </c>
      <c r="F96" s="113">
        <f>IFERROR(VLOOKUP($A96,[34]Collateral!$A$2:$C$32,3,FALSE),0)</f>
        <v>634762.59000000008</v>
      </c>
      <c r="I96" s="65">
        <v>5.9046480386007304E-3</v>
      </c>
      <c r="J96" s="113">
        <v>722818.16</v>
      </c>
      <c r="M96" s="65">
        <v>5.9604907585033926E-3</v>
      </c>
      <c r="N96" s="113">
        <v>819273.09</v>
      </c>
      <c r="Q96" s="65">
        <v>5.9011855274546015E-3</v>
      </c>
      <c r="R96" s="113">
        <v>911254.70000000007</v>
      </c>
      <c r="U96" s="65">
        <f t="shared" si="27"/>
        <v>5.5231636063250746E-3</v>
      </c>
      <c r="V96" s="113">
        <f>IFERROR(VLOOKUP($A96,'[35]Collateral Type'!$A$2:$C$32,3,FALSE),0)</f>
        <v>1020696.8999999999</v>
      </c>
      <c r="Y96" s="65">
        <f t="shared" si="28"/>
        <v>5.112335790109666E-3</v>
      </c>
      <c r="Z96" s="113">
        <f>IFERROR(VLOOKUP($A96,[36]Collateral!$A$2:$C$32,3,FALSE),0)</f>
        <v>1091568.23</v>
      </c>
      <c r="AC96" s="65">
        <f t="shared" si="29"/>
        <v>5.0604131795589551E-3</v>
      </c>
      <c r="AD96" s="113">
        <f>IFERROR(VLOOKUP($A96,'[37](901__COLLATERAL_TYPE'!$A$2:$C$30,3,FALSE),0)</f>
        <v>1179196.82</v>
      </c>
      <c r="AG96" s="65">
        <f t="shared" si="30"/>
        <v>4.9798334940964585E-3</v>
      </c>
      <c r="AH96" s="113">
        <f>IFERROR(VLOOKUP($A96,'[38](901__COLLATERAL_TYPE'!$A$1:$C$30,3,FALSE),0)</f>
        <v>1261832.26</v>
      </c>
      <c r="AK96" s="65">
        <f t="shared" si="31"/>
        <v>4.8703340013467166E-3</v>
      </c>
      <c r="AL96" s="113">
        <f>VLOOKUP(A96,'[39](901__COLLATERAL_TYPE'!$A$2:$C$30,3,0)</f>
        <v>1409869.97</v>
      </c>
      <c r="AO96" s="65">
        <v>4.6026503054089072E-3</v>
      </c>
      <c r="AP96" s="113">
        <v>1487144</v>
      </c>
    </row>
    <row r="97" spans="1:43">
      <c r="A97" s="107" t="s">
        <v>78</v>
      </c>
      <c r="B97" s="1" t="s">
        <v>78</v>
      </c>
      <c r="E97" s="65">
        <f t="shared" si="32"/>
        <v>2.0662959095834829E-3</v>
      </c>
      <c r="F97" s="113">
        <f>IFERROR(VLOOKUP($A97,[34]Collateral!$A$2:$C$32,3,FALSE),0)</f>
        <v>204507.30000000002</v>
      </c>
      <c r="I97" s="65">
        <v>1.8765597921346802E-3</v>
      </c>
      <c r="J97" s="113">
        <v>229719.28</v>
      </c>
      <c r="M97" s="65">
        <v>2.0621950693914086E-3</v>
      </c>
      <c r="N97" s="113">
        <v>283449.96999999997</v>
      </c>
      <c r="Q97" s="65">
        <v>2.0294999380862776E-3</v>
      </c>
      <c r="R97" s="113">
        <v>313393.18999999994</v>
      </c>
      <c r="U97" s="65">
        <f t="shared" si="27"/>
        <v>1.8530352968974106E-3</v>
      </c>
      <c r="V97" s="113">
        <f>IFERROR(VLOOKUP($A97,'[35]Collateral Type'!$A$2:$C$32,3,FALSE),0)</f>
        <v>342446.37999999995</v>
      </c>
      <c r="Y97" s="65">
        <f t="shared" si="28"/>
        <v>1.7358670505191773E-3</v>
      </c>
      <c r="Z97" s="113">
        <f>IFERROR(VLOOKUP($A97,[36]Collateral!$A$2:$C$32,3,FALSE),0)</f>
        <v>370636.32</v>
      </c>
      <c r="AC97" s="65">
        <f t="shared" si="29"/>
        <v>1.7079324619437408E-3</v>
      </c>
      <c r="AD97" s="113">
        <f>IFERROR(VLOOKUP($A97,'[37](901__COLLATERAL_TYPE'!$A$2:$C$30,3,FALSE),0)</f>
        <v>397988.95</v>
      </c>
      <c r="AG97" s="65">
        <f t="shared" si="30"/>
        <v>1.7656826139984163E-3</v>
      </c>
      <c r="AH97" s="113">
        <f>IFERROR(VLOOKUP($A97,'[38](901__COLLATERAL_TYPE'!$A$1:$C$30,3,FALSE),0)</f>
        <v>447403.57</v>
      </c>
      <c r="AK97" s="65">
        <f t="shared" si="31"/>
        <v>1.8713120986889801E-3</v>
      </c>
      <c r="AL97" s="113">
        <f>VLOOKUP(A97,'[39](901__COLLATERAL_TYPE'!$A$2:$C$30,3,0)</f>
        <v>541709.61</v>
      </c>
      <c r="AO97" s="65">
        <v>1.7593548033211128E-3</v>
      </c>
      <c r="AP97" s="113">
        <v>568458.12</v>
      </c>
    </row>
    <row r="98" spans="1:43">
      <c r="A98" s="105" t="s">
        <v>75</v>
      </c>
      <c r="B98" s="1" t="s">
        <v>75</v>
      </c>
      <c r="E98" s="65">
        <f t="shared" si="32"/>
        <v>0</v>
      </c>
      <c r="F98" s="113">
        <f>IFERROR(VLOOKUP($A98,[34]Collateral!$A$2:$C$32,3,FALSE),0)</f>
        <v>0</v>
      </c>
      <c r="I98" s="65">
        <v>0</v>
      </c>
      <c r="J98" s="113">
        <v>0</v>
      </c>
      <c r="M98" s="65">
        <v>0</v>
      </c>
      <c r="N98" s="113">
        <v>0</v>
      </c>
      <c r="Q98" s="65">
        <v>0</v>
      </c>
      <c r="R98" s="113">
        <v>0</v>
      </c>
      <c r="U98" s="65">
        <f t="shared" si="27"/>
        <v>0</v>
      </c>
      <c r="V98" s="113">
        <f>IFERROR(VLOOKUP($A98,'[35]Collateral Type'!$A$2:$C$32,3,FALSE),0)</f>
        <v>0</v>
      </c>
      <c r="Y98" s="65">
        <f t="shared" si="28"/>
        <v>0</v>
      </c>
      <c r="Z98" s="113">
        <f>IFERROR(VLOOKUP($A98,[36]Collateral!$A$2:$C$32,3,FALSE),0)</f>
        <v>0</v>
      </c>
      <c r="AC98" s="65">
        <f t="shared" si="29"/>
        <v>0.27048584466183889</v>
      </c>
      <c r="AD98" s="113">
        <f>IFERROR(VLOOKUP($A98,'[37](901__COLLATERAL_TYPE'!$A$2:$C$30,3,FALSE),0)</f>
        <v>63029645.32</v>
      </c>
      <c r="AG98" s="65">
        <f t="shared" si="30"/>
        <v>0.26945094328867886</v>
      </c>
      <c r="AH98" s="113">
        <f>IFERROR(VLOOKUP($A98,'[38](901__COLLATERAL_TYPE'!$A$1:$C$30,3,FALSE),0)</f>
        <v>68275755.230000004</v>
      </c>
      <c r="AK98" s="65">
        <f t="shared" si="31"/>
        <v>0.26935233303639444</v>
      </c>
      <c r="AL98" s="113">
        <f>VLOOKUP(A98,'[39](901__COLLATERAL_TYPE'!$A$2:$C$30,3,0)</f>
        <v>77972427.679999903</v>
      </c>
      <c r="AO98" s="65">
        <v>0.26633644502130072</v>
      </c>
      <c r="AP98" s="113">
        <v>86054907.480000004</v>
      </c>
    </row>
    <row r="99" spans="1:43">
      <c r="A99" s="107" t="s">
        <v>119</v>
      </c>
      <c r="B99" s="1" t="s">
        <v>119</v>
      </c>
      <c r="E99" s="65">
        <f t="shared" si="32"/>
        <v>0.19939902527314782</v>
      </c>
      <c r="F99" s="113">
        <f>IFERROR(VLOOKUP($A99,[34]Collateral!$A$2:$C$32,3,FALSE),0)</f>
        <v>19735099.939999994</v>
      </c>
      <c r="I99" s="65">
        <v>0.19501622872856733</v>
      </c>
      <c r="J99" s="113">
        <v>23872933.780000009</v>
      </c>
      <c r="M99" s="65">
        <v>0.18808897567416977</v>
      </c>
      <c r="N99" s="113">
        <v>25852944.420000006</v>
      </c>
      <c r="Q99" s="65">
        <v>0.18578381347280074</v>
      </c>
      <c r="R99" s="113">
        <v>28688535.960000016</v>
      </c>
      <c r="U99" s="65">
        <f t="shared" si="27"/>
        <v>0.1829965119629986</v>
      </c>
      <c r="V99" s="113">
        <f>IFERROR(VLOOKUP($A99,'[35]Collateral Type'!$A$2:$C$32,3,FALSE),0)</f>
        <v>33818294.329999991</v>
      </c>
      <c r="Y99" s="65">
        <f t="shared" si="28"/>
        <v>0.18151241118129138</v>
      </c>
      <c r="Z99" s="113">
        <f>IFERROR(VLOOKUP($A99,[36]Collateral!$A$2:$C$32,3,FALSE),0)</f>
        <v>38755901.32</v>
      </c>
      <c r="AC99" s="65">
        <f t="shared" si="29"/>
        <v>0</v>
      </c>
      <c r="AD99" s="113">
        <f>IFERROR(VLOOKUP($A99,'[37](901__COLLATERAL_TYPE'!$A$2:$C$30,3,FALSE),0)</f>
        <v>0</v>
      </c>
      <c r="AG99" s="65">
        <f t="shared" si="30"/>
        <v>0</v>
      </c>
      <c r="AH99" s="113">
        <f>IFERROR(VLOOKUP($A99,'[38](901__COLLATERAL_TYPE'!$A$1:$C$30,3,FALSE),0)</f>
        <v>0</v>
      </c>
      <c r="AK99" s="65">
        <f t="shared" si="31"/>
        <v>0</v>
      </c>
      <c r="AL99" s="113">
        <v>0</v>
      </c>
      <c r="AO99" s="65">
        <v>0</v>
      </c>
      <c r="AP99" s="113">
        <v>0</v>
      </c>
    </row>
    <row r="100" spans="1:43">
      <c r="A100" s="105" t="s">
        <v>135</v>
      </c>
      <c r="B100" s="1" t="s">
        <v>135</v>
      </c>
      <c r="E100" s="65">
        <f t="shared" si="32"/>
        <v>6.0238428440702351E-4</v>
      </c>
      <c r="F100" s="113">
        <f>IFERROR(VLOOKUP($A100,[34]Collateral!$A$2:$C$32,3,FALSE),0)</f>
        <v>59619.719999999965</v>
      </c>
      <c r="I100" s="65">
        <v>5.8577979411362981E-4</v>
      </c>
      <c r="J100" s="113">
        <v>71708.299999999988</v>
      </c>
      <c r="M100" s="65">
        <v>6.0658610439578596E-4</v>
      </c>
      <c r="N100" s="113">
        <v>83375.629999999976</v>
      </c>
      <c r="Q100" s="65">
        <v>6.128553390413636E-4</v>
      </c>
      <c r="R100" s="113">
        <v>94636.459999999963</v>
      </c>
      <c r="U100" s="65">
        <f t="shared" si="27"/>
        <v>5.7090556655970542E-4</v>
      </c>
      <c r="V100" s="113">
        <f>IFERROR(VLOOKUP($A100,'[35]Collateral Type'!$A$2:$C$32,3,FALSE),0)</f>
        <v>105505.02999999997</v>
      </c>
      <c r="Y100" s="65">
        <f t="shared" si="28"/>
        <v>5.4326045205986952E-4</v>
      </c>
      <c r="Z100" s="113">
        <f>IFERROR(VLOOKUP($A100,[36]Collateral!$A$2:$C$32,3,FALSE),0)</f>
        <v>115995.08999999997</v>
      </c>
      <c r="AC100" s="65">
        <f t="shared" si="29"/>
        <v>5.4134624055732813E-4</v>
      </c>
      <c r="AD100" s="113">
        <f>IFERROR(VLOOKUP($A100,'[37](901__COLLATERAL_TYPE'!$A$2:$C$30,3,FALSE),0)</f>
        <v>126146.57</v>
      </c>
      <c r="AG100" s="65">
        <f t="shared" si="30"/>
        <v>5.3629995079123249E-4</v>
      </c>
      <c r="AH100" s="113">
        <f>IFERROR(VLOOKUP($A100,'[38](901__COLLATERAL_TYPE'!$A$1:$C$30,3,FALSE),0)</f>
        <v>135892.21</v>
      </c>
      <c r="AK100" s="65">
        <f t="shared" si="31"/>
        <v>5.0201676864236697E-4</v>
      </c>
      <c r="AL100" s="113">
        <f>VLOOKUP(A100,'[39](901__COLLATERAL_TYPE'!$A$2:$C$30,3,0)</f>
        <v>145324.4</v>
      </c>
      <c r="AO100" s="65">
        <v>4.7794947381779682E-4</v>
      </c>
      <c r="AP100" s="113">
        <v>154428.35</v>
      </c>
    </row>
    <row r="101" spans="1:43">
      <c r="A101" s="105" t="s">
        <v>163</v>
      </c>
      <c r="B101" s="1" t="s">
        <v>163</v>
      </c>
      <c r="E101" s="65">
        <f t="shared" si="32"/>
        <v>1.1985025101733722E-3</v>
      </c>
      <c r="F101" s="113">
        <f>IFERROR(VLOOKUP($A101,[34]Collateral!$A$2:$C$32,3,FALSE),0)</f>
        <v>118619.27000000008</v>
      </c>
      <c r="I101" s="65">
        <v>1.1052480866003747E-3</v>
      </c>
      <c r="J101" s="113">
        <v>135299.07000000009</v>
      </c>
      <c r="M101" s="65">
        <v>2.5842841314729077E-3</v>
      </c>
      <c r="N101" s="113">
        <v>355211.43000000005</v>
      </c>
      <c r="Q101" s="65">
        <v>2.9851745363222186E-3</v>
      </c>
      <c r="R101" s="113">
        <v>460967.43000000005</v>
      </c>
      <c r="U101" s="65">
        <f t="shared" si="27"/>
        <v>2.8186901463315992E-3</v>
      </c>
      <c r="V101" s="113">
        <f>IFERROR(VLOOKUP($A101,'[35]Collateral Type'!$A$2:$C$32,3,FALSE),0)</f>
        <v>520902.24000000005</v>
      </c>
      <c r="Y101" s="65">
        <f t="shared" si="28"/>
        <v>2.648166319841569E-3</v>
      </c>
      <c r="Z101" s="113">
        <f>IFERROR(VLOOKUP($A101,[36]Collateral!$A$2:$C$32,3,FALSE),0)</f>
        <v>565427.30000000005</v>
      </c>
      <c r="AC101" s="65">
        <f t="shared" si="29"/>
        <v>2.684583982147542E-3</v>
      </c>
      <c r="AD101" s="113">
        <f>IFERROR(VLOOKUP($A101,'[37](901__COLLATERAL_TYPE'!$A$2:$C$30,3,FALSE),0)</f>
        <v>625572.02</v>
      </c>
      <c r="AG101" s="65">
        <f t="shared" si="30"/>
        <v>3.5879297254886398E-3</v>
      </c>
      <c r="AH101" s="113">
        <f>IFERROR(VLOOKUP($A101,'[38](901__COLLATERAL_TYPE'!$A$1:$C$30,3,FALSE),0)</f>
        <v>909139.93</v>
      </c>
      <c r="AK101" s="65">
        <f t="shared" si="31"/>
        <v>3.4694463224875559E-3</v>
      </c>
      <c r="AL101" s="113">
        <f>VLOOKUP(A101,'[39](901__COLLATERAL_TYPE'!$A$2:$C$30,3,0)</f>
        <v>1004339.37</v>
      </c>
      <c r="AO101" s="65">
        <v>3.3892507355000015E-3</v>
      </c>
      <c r="AP101" s="113">
        <v>1095087.2999999998</v>
      </c>
    </row>
    <row r="102" spans="1:43">
      <c r="A102" s="105" t="s">
        <v>77</v>
      </c>
      <c r="B102" s="5" t="s">
        <v>77</v>
      </c>
      <c r="E102" s="65">
        <f t="shared" si="32"/>
        <v>3.2405073261187094E-3</v>
      </c>
      <c r="F102" s="113">
        <f>IFERROR(VLOOKUP($A102,[34]Collateral!$A$2:$C$32,3,FALSE),0)</f>
        <v>320722.41000000003</v>
      </c>
      <c r="G102" s="5"/>
      <c r="I102" s="65">
        <v>3.4545972127564316E-3</v>
      </c>
      <c r="J102" s="113">
        <v>422894.91</v>
      </c>
      <c r="K102" s="5"/>
      <c r="M102" s="65">
        <v>4.0356327297777703E-3</v>
      </c>
      <c r="N102" s="113">
        <v>554700.18000000005</v>
      </c>
      <c r="O102" s="5"/>
      <c r="Q102" s="65">
        <v>5.069361943804856E-3</v>
      </c>
      <c r="R102" s="113">
        <v>782805.40000000014</v>
      </c>
      <c r="S102" s="5"/>
      <c r="U102" s="65">
        <f t="shared" si="27"/>
        <v>4.4680970324041235E-3</v>
      </c>
      <c r="V102" s="113">
        <f>IFERROR(VLOOKUP($A102,'[35]Collateral Type'!$A$2:$C$32,3,FALSE),0)</f>
        <v>825717.48999999987</v>
      </c>
      <c r="W102" s="5"/>
      <c r="Y102" s="65">
        <f t="shared" si="28"/>
        <v>4.5389508328790573E-3</v>
      </c>
      <c r="Z102" s="113">
        <f>IFERROR(VLOOKUP($A102,[36]Collateral!$A$2:$C$32,3,FALSE),0)</f>
        <v>969141.05999999982</v>
      </c>
      <c r="AA102" s="5"/>
      <c r="AC102" s="65">
        <f t="shared" si="29"/>
        <v>4.5898115944557807E-3</v>
      </c>
      <c r="AD102" s="113">
        <f>IFERROR(VLOOKUP($A102,'[37](901__COLLATERAL_TYPE'!$A$2:$C$30,3,FALSE),0)</f>
        <v>1069535.44</v>
      </c>
      <c r="AE102" s="5"/>
      <c r="AG102" s="65">
        <f t="shared" si="30"/>
        <v>4.7629400590528288E-3</v>
      </c>
      <c r="AH102" s="113">
        <f>IFERROR(VLOOKUP($A102,'[38](901__COLLATERAL_TYPE'!$A$1:$C$30,3,FALSE),0)</f>
        <v>1206873.97</v>
      </c>
      <c r="AI102" s="5"/>
      <c r="AK102" s="65">
        <f t="shared" si="31"/>
        <v>4.5587551136433719E-3</v>
      </c>
      <c r="AL102" s="113">
        <f>VLOOKUP(A102,'[39](901__COLLATERAL_TYPE'!$A$2:$C$30,3,0)</f>
        <v>1319673.75</v>
      </c>
      <c r="AM102" s="5"/>
      <c r="AO102" s="65">
        <v>4.5266044912287331E-3</v>
      </c>
      <c r="AP102" s="113">
        <v>1462573.14</v>
      </c>
      <c r="AQ102" s="5"/>
    </row>
    <row r="103" spans="1:43">
      <c r="A103" s="105" t="s">
        <v>128</v>
      </c>
      <c r="B103" s="5" t="s">
        <v>128</v>
      </c>
      <c r="E103" s="65">
        <f t="shared" si="32"/>
        <v>5.3730525216143007E-2</v>
      </c>
      <c r="F103" s="113">
        <f>IFERROR(VLOOKUP($A103,[34]Collateral!$A$2:$C$32,3,FALSE),0)</f>
        <v>5317865.9400000004</v>
      </c>
      <c r="G103" s="5"/>
      <c r="I103" s="65">
        <v>5.7874404276590991E-2</v>
      </c>
      <c r="J103" s="113">
        <v>7084701.7700000014</v>
      </c>
      <c r="K103" s="5"/>
      <c r="M103" s="65">
        <v>5.527887679858734E-2</v>
      </c>
      <c r="N103" s="113">
        <v>7598115.3300000001</v>
      </c>
      <c r="O103" s="5"/>
      <c r="Q103" s="65">
        <v>5.9176501419492163E-2</v>
      </c>
      <c r="R103" s="113">
        <v>9137971.4800000004</v>
      </c>
      <c r="S103" s="5"/>
      <c r="U103" s="65">
        <f t="shared" si="27"/>
        <v>5.8252300534212639E-2</v>
      </c>
      <c r="V103" s="113">
        <f>IFERROR(VLOOKUP($A103,'[35]Collateral Type'!$A$2:$C$32,3,FALSE),0)</f>
        <v>10765196.690000005</v>
      </c>
      <c r="W103" s="5"/>
      <c r="Y103" s="65">
        <f t="shared" si="28"/>
        <v>5.6648888198543419E-2</v>
      </c>
      <c r="Z103" s="113">
        <f>IFERROR(VLOOKUP($A103,[36]Collateral!$A$2:$C$32,3,FALSE),0)</f>
        <v>12095474.39000001</v>
      </c>
      <c r="AA103" s="5"/>
      <c r="AC103" s="65">
        <f t="shared" si="29"/>
        <v>5.4581443222573182E-2</v>
      </c>
      <c r="AD103" s="113">
        <f>IFERROR(VLOOKUP($A103,'[37](901__COLLATERAL_TYPE'!$A$2:$C$30,3,FALSE),0)</f>
        <v>12718776.51</v>
      </c>
      <c r="AE103" s="5"/>
      <c r="AG103" s="65">
        <f t="shared" si="30"/>
        <v>5.2992217098776995E-2</v>
      </c>
      <c r="AH103" s="113">
        <f>IFERROR(VLOOKUP($A103,'[38](901__COLLATERAL_TYPE'!$A$1:$C$30,3,FALSE),0)</f>
        <v>13427615.43</v>
      </c>
      <c r="AI103" s="5"/>
      <c r="AK103" s="65">
        <f t="shared" si="31"/>
        <v>5.3106250308326643E-2</v>
      </c>
      <c r="AL103" s="113">
        <f>VLOOKUP(A103,'[39](901__COLLATERAL_TYPE'!$A$2:$C$30,3,0)</f>
        <v>15373259.310000001</v>
      </c>
      <c r="AM103" s="5"/>
      <c r="AO103" s="65">
        <v>5.2730348966672426E-2</v>
      </c>
      <c r="AP103" s="113">
        <v>17037492.940000001</v>
      </c>
      <c r="AQ103" s="5"/>
    </row>
    <row r="104" spans="1:43">
      <c r="A104" s="107" t="s">
        <v>134</v>
      </c>
      <c r="B104" s="1" t="s">
        <v>134</v>
      </c>
      <c r="E104" s="65">
        <f t="shared" si="32"/>
        <v>0</v>
      </c>
      <c r="F104" s="113">
        <f>IFERROR(VLOOKUP($A104,[34]Collateral!$A$2:$C$32,3,FALSE),0)</f>
        <v>0</v>
      </c>
      <c r="I104" s="65">
        <v>0</v>
      </c>
      <c r="J104" s="113">
        <v>0</v>
      </c>
      <c r="M104" s="65">
        <v>0</v>
      </c>
      <c r="N104" s="113">
        <v>0</v>
      </c>
      <c r="Q104" s="65">
        <v>0</v>
      </c>
      <c r="R104" s="113">
        <v>0</v>
      </c>
      <c r="U104" s="65">
        <f t="shared" si="27"/>
        <v>0</v>
      </c>
      <c r="V104" s="113">
        <f>IFERROR(VLOOKUP($A104,'[35]Collateral Type'!$A$2:$C$32,3,FALSE),0)</f>
        <v>0</v>
      </c>
      <c r="Y104" s="65">
        <f t="shared" si="28"/>
        <v>0</v>
      </c>
      <c r="Z104" s="113">
        <f>IFERROR(VLOOKUP($A104,[36]Collateral!$A$2:$C$32,3,FALSE),0)</f>
        <v>0</v>
      </c>
      <c r="AC104" s="65">
        <f t="shared" si="29"/>
        <v>0</v>
      </c>
      <c r="AD104" s="113">
        <f>IFERROR(VLOOKUP($A104,'[37](901__COLLATERAL_TYPE'!$A$2:$C$30,3,FALSE),0)</f>
        <v>0</v>
      </c>
      <c r="AG104" s="65">
        <f t="shared" si="30"/>
        <v>0</v>
      </c>
      <c r="AH104" s="113">
        <f>IFERROR(VLOOKUP($A104,'[38](901__COLLATERAL_TYPE'!$A$1:$C$30,3,FALSE),0)</f>
        <v>0</v>
      </c>
      <c r="AK104" s="65">
        <f t="shared" si="31"/>
        <v>0</v>
      </c>
      <c r="AL104" s="113">
        <v>0</v>
      </c>
      <c r="AO104" s="65">
        <v>2.3844378114863278E-4</v>
      </c>
      <c r="AP104" s="113">
        <v>77042.62</v>
      </c>
    </row>
    <row r="105" spans="1:43">
      <c r="A105" s="105" t="s">
        <v>130</v>
      </c>
      <c r="B105" s="1" t="s">
        <v>130</v>
      </c>
      <c r="E105" s="65">
        <f t="shared" si="32"/>
        <v>2.7802098138686496E-3</v>
      </c>
      <c r="F105" s="113">
        <f>IFERROR(VLOOKUP($A105,[34]Collateral!$A$2:$C$32,3,FALSE),0)</f>
        <v>275165.43</v>
      </c>
      <c r="I105" s="65">
        <v>2.6178096867219406E-3</v>
      </c>
      <c r="J105" s="113">
        <v>320459.46999999997</v>
      </c>
      <c r="M105" s="65">
        <v>2.7620460200491297E-3</v>
      </c>
      <c r="N105" s="113">
        <v>379644.91</v>
      </c>
      <c r="Q105" s="65">
        <v>2.831435927786534E-3</v>
      </c>
      <c r="R105" s="113">
        <v>437227.27999999985</v>
      </c>
      <c r="U105" s="65">
        <f t="shared" si="27"/>
        <v>3.0616137642819931E-3</v>
      </c>
      <c r="V105" s="113">
        <f>IFERROR(VLOOKUP($A105,'[35]Collateral Type'!$A$2:$C$32,3,FALSE),0)</f>
        <v>565795.24</v>
      </c>
      <c r="Y105" s="65">
        <f t="shared" si="28"/>
        <v>3.010461865480474E-3</v>
      </c>
      <c r="Z105" s="113">
        <f>IFERROR(VLOOKUP($A105,[36]Collateral!$A$2:$C$32,3,FALSE),0)</f>
        <v>642783.3899999999</v>
      </c>
      <c r="AC105" s="65">
        <f t="shared" si="29"/>
        <v>3.0419728073982069E-3</v>
      </c>
      <c r="AD105" s="113">
        <f>IFERROR(VLOOKUP($A105,'[37](901__COLLATERAL_TYPE'!$A$2:$C$30,3,FALSE),0)</f>
        <v>708852.13</v>
      </c>
      <c r="AG105" s="65">
        <f t="shared" si="30"/>
        <v>3.156429305371473E-3</v>
      </c>
      <c r="AH105" s="113">
        <f>IFERROR(VLOOKUP($A105,'[38](901__COLLATERAL_TYPE'!$A$1:$C$30,3,FALSE),0)</f>
        <v>799802.71</v>
      </c>
      <c r="AK105" s="65">
        <f t="shared" si="31"/>
        <v>3.1976124037658357E-3</v>
      </c>
      <c r="AL105" s="113">
        <f>VLOOKUP(A105,'[39](901__COLLATERAL_TYPE'!$A$2:$C$30,3,0)</f>
        <v>925648.57</v>
      </c>
      <c r="AO105" s="65">
        <v>3.127920565210226E-3</v>
      </c>
      <c r="AP105" s="113">
        <v>1010649.95</v>
      </c>
    </row>
    <row r="106" spans="1:43" ht="13.5" thickBot="1">
      <c r="A106" s="105" t="s">
        <v>133</v>
      </c>
      <c r="B106" s="1" t="s">
        <v>133</v>
      </c>
      <c r="E106" s="65">
        <f t="shared" si="32"/>
        <v>2.8743313352999457E-3</v>
      </c>
      <c r="F106" s="113">
        <f>IFERROR(VLOOKUP($A106,[34]Collateral!$A$2:$C$32,3,FALSE),0)</f>
        <v>284480.90999999986</v>
      </c>
      <c r="I106" s="65">
        <v>2.9156927580884797E-3</v>
      </c>
      <c r="J106" s="113">
        <v>356924.85999999993</v>
      </c>
      <c r="M106" s="65">
        <v>3.2092894338775347E-3</v>
      </c>
      <c r="N106" s="113">
        <v>441118.78999999992</v>
      </c>
      <c r="Q106" s="65">
        <v>4.5189635883784518E-3</v>
      </c>
      <c r="R106" s="113">
        <v>697813.47999999986</v>
      </c>
      <c r="U106" s="65">
        <f t="shared" si="27"/>
        <v>4.2401571042453047E-3</v>
      </c>
      <c r="V106" s="113">
        <f>IFERROR(VLOOKUP($A106,'[35]Collateral Type'!$A$2:$C$32,3,FALSE),0)</f>
        <v>783593.5199999999</v>
      </c>
      <c r="Y106" s="65">
        <f t="shared" si="28"/>
        <v>4.4292671502359684E-3</v>
      </c>
      <c r="Z106" s="113">
        <f>IFERROR(VLOOKUP($A106,[36]Collateral!$A$2:$C$32,3,FALSE),0)</f>
        <v>945721.78</v>
      </c>
      <c r="AC106" s="65">
        <f t="shared" si="29"/>
        <v>4.4598568982359239E-3</v>
      </c>
      <c r="AD106" s="113">
        <f>IFERROR(VLOOKUP($A106,'[37](901__COLLATERAL_TYPE'!$A$2:$C$30,3,FALSE),0)</f>
        <v>1039252.9</v>
      </c>
      <c r="AG106" s="65">
        <f t="shared" si="30"/>
        <v>4.5540291506342822E-3</v>
      </c>
      <c r="AH106" s="113">
        <f>IFERROR(VLOOKUP($A106,'[38](901__COLLATERAL_TYPE'!$A$1:$C$30,3,FALSE),0)</f>
        <v>1153938.3600000001</v>
      </c>
      <c r="AK106" s="65">
        <f t="shared" si="31"/>
        <v>4.3725306674261225E-3</v>
      </c>
      <c r="AL106" s="113">
        <f>VLOOKUP(A106,'[39](901__COLLATERAL_TYPE'!$A$2:$C$30,3,0)</f>
        <v>1265765.28</v>
      </c>
      <c r="AO106" s="65">
        <v>4.2264081612101148E-3</v>
      </c>
      <c r="AP106" s="113">
        <v>1365577.9000000001</v>
      </c>
    </row>
    <row r="107" spans="1:43" ht="13.5" thickBot="1">
      <c r="A107" s="106"/>
      <c r="B107" s="3" t="s">
        <v>46</v>
      </c>
      <c r="C107" s="55"/>
      <c r="D107" s="55"/>
      <c r="E107" s="134">
        <f>SUM(E72:E106)</f>
        <v>0.99999999999999967</v>
      </c>
      <c r="F107" s="120">
        <f>SUM(F72:F106)</f>
        <v>98972900.76000002</v>
      </c>
      <c r="H107" s="55"/>
      <c r="I107" s="134">
        <v>1.0000000000000002</v>
      </c>
      <c r="J107" s="120">
        <v>122415113.52999996</v>
      </c>
      <c r="L107" s="55"/>
      <c r="M107" s="134">
        <v>0.99999999999999989</v>
      </c>
      <c r="N107" s="120">
        <v>137450609.88999999</v>
      </c>
      <c r="P107" s="55"/>
      <c r="Q107" s="134">
        <v>0.99999999999999978</v>
      </c>
      <c r="R107" s="120">
        <v>154418920.70000005</v>
      </c>
      <c r="T107" s="55"/>
      <c r="U107" s="134">
        <f>SUM(U72:U106)</f>
        <v>0.99999999999999989</v>
      </c>
      <c r="V107" s="120">
        <f>SUM(V72:V106)</f>
        <v>184802944.97000009</v>
      </c>
      <c r="X107" s="55"/>
      <c r="Y107" s="134">
        <f>SUM(Y72:Y106)</f>
        <v>0.99999999999999978</v>
      </c>
      <c r="Z107" s="120">
        <f>SUM(Z72:Z106)</f>
        <v>213516536.2400001</v>
      </c>
      <c r="AB107" s="55"/>
      <c r="AC107" s="134">
        <f>SUM(AC72:AC106)</f>
        <v>1.0000000000000002</v>
      </c>
      <c r="AD107" s="120">
        <f>SUM(AD72:AD106)</f>
        <v>233023822</v>
      </c>
      <c r="AF107" s="55"/>
      <c r="AG107" s="134">
        <f>SUM(AG72:AG106)</f>
        <v>0.99999999999999989</v>
      </c>
      <c r="AH107" s="120">
        <f>SUM(AH72:AH106)</f>
        <v>253388443.91000006</v>
      </c>
      <c r="AK107" s="134">
        <f>SUM(AK72:AK106)</f>
        <v>1</v>
      </c>
      <c r="AL107" s="120">
        <f>SUM(AL72:AL106)</f>
        <v>289481166.9199999</v>
      </c>
      <c r="AO107" s="134">
        <v>1.0000000000000002</v>
      </c>
      <c r="AP107" s="120">
        <v>323106015.30000001</v>
      </c>
    </row>
    <row r="108" spans="1:43">
      <c r="A108" s="105" t="s">
        <v>92</v>
      </c>
      <c r="E108" s="65"/>
      <c r="I108" s="65"/>
      <c r="M108" s="65"/>
      <c r="Q108" s="65"/>
      <c r="U108" s="65"/>
      <c r="Y108" s="65"/>
      <c r="AC108" s="65"/>
      <c r="AG108" s="65"/>
      <c r="AK108" s="65"/>
      <c r="AO108" s="65"/>
    </row>
    <row r="109" spans="1:43">
      <c r="A109" s="83" t="s">
        <v>93</v>
      </c>
      <c r="B109" s="73" t="s">
        <v>175</v>
      </c>
      <c r="C109" s="74"/>
      <c r="D109" s="74"/>
      <c r="E109" s="65"/>
      <c r="H109" s="74"/>
      <c r="I109" s="65"/>
      <c r="L109" s="74"/>
      <c r="M109" s="65"/>
      <c r="P109" s="74"/>
      <c r="Q109" s="65"/>
      <c r="T109" s="74"/>
      <c r="U109" s="65"/>
      <c r="X109" s="74"/>
      <c r="Y109" s="65"/>
      <c r="AB109" s="74"/>
      <c r="AC109" s="65"/>
      <c r="AF109" s="74"/>
      <c r="AG109" s="65"/>
      <c r="AK109" s="65"/>
      <c r="AO109" s="65"/>
    </row>
    <row r="110" spans="1:43">
      <c r="A110" s="83" t="s">
        <v>251</v>
      </c>
      <c r="B110" s="75" t="s">
        <v>92</v>
      </c>
      <c r="E110" s="65">
        <f t="shared" ref="E110:E120" si="33">F110/F$121</f>
        <v>0.12243035635969977</v>
      </c>
      <c r="F110" s="113">
        <f>IFERROR(VLOOKUP($A110,[34]Balance!$A$2:$C$10,3,FALSE),0)</f>
        <v>12117287.51</v>
      </c>
      <c r="I110" s="65">
        <v>0.10287384112022892</v>
      </c>
      <c r="J110" s="113">
        <v>12593312.940000007</v>
      </c>
      <c r="M110" s="65">
        <v>9.2955213659838137E-2</v>
      </c>
      <c r="N110" s="113">
        <v>12776750.81000001</v>
      </c>
      <c r="Q110" s="65">
        <v>8.6861350145416488E-2</v>
      </c>
      <c r="R110" s="113">
        <v>13413035.939999998</v>
      </c>
      <c r="U110" s="65">
        <f t="shared" ref="U110:U120" si="34">V110/V$121</f>
        <v>7.6320746470190881E-2</v>
      </c>
      <c r="V110" s="113">
        <f>IFERROR(VLOOKUP($A110,'[35]Balance Distribution'!$A$2:$C$12,3,FALSE),0)</f>
        <v>14104298.710000006</v>
      </c>
      <c r="Y110" s="65">
        <f t="shared" ref="Y110:Y120" si="35">Z110/Z$121</f>
        <v>6.728624280346758E-2</v>
      </c>
      <c r="Z110" s="113">
        <f>IFERROR(VLOOKUP($A110,'[36]Balance Distribution'!$A$2:$C$12,3,FALSE),0)</f>
        <v>14366725.500000026</v>
      </c>
      <c r="AC110" s="65">
        <f t="shared" ref="AC110:AC120" si="36">AD110/AD$121</f>
        <v>6.2534273083890965E-2</v>
      </c>
      <c r="AD110" s="113">
        <f>IFERROR(VLOOKUP($B110,'[37](905__CLIENT_BALANCE_DISTRIBUTI'!$A$2:$C$12,3,FALSE),0)</f>
        <v>14571975.32</v>
      </c>
      <c r="AG110" s="65">
        <f t="shared" ref="AG110:AG120" si="37">AH110/AH$121</f>
        <v>6.0338544821051381E-2</v>
      </c>
      <c r="AH110" s="113">
        <f>IFERROR(VLOOKUP($B110,'[38](905__CLIENT_BALANCE_DISTRIBUTI'!$A$1:$C$12,3,FALSE),0)</f>
        <v>15289089.98</v>
      </c>
      <c r="AK110" s="65">
        <f>AL110/$AL$121</f>
        <v>5.0515754049178817E-2</v>
      </c>
      <c r="AL110" s="113">
        <f>VLOOKUP(B110,'[39](905__CLIENT_BALANCE_DISTRIBUTI'!$A$2:$C$12,3,0)</f>
        <v>14623359.43</v>
      </c>
      <c r="AO110" s="65">
        <v>4.3290874040251844E-2</v>
      </c>
      <c r="AP110" s="113">
        <v>13987541.809999984</v>
      </c>
    </row>
    <row r="111" spans="1:43">
      <c r="A111" s="83" t="s">
        <v>252</v>
      </c>
      <c r="B111" s="75" t="s">
        <v>93</v>
      </c>
      <c r="E111" s="65">
        <f t="shared" si="33"/>
        <v>0.1929027075431147</v>
      </c>
      <c r="F111" s="113">
        <f>IFERROR(VLOOKUP($A111,[34]Balance!$A$2:$C$10,3,FALSE),0)</f>
        <v>19092140.529999994</v>
      </c>
      <c r="I111" s="65">
        <v>0.16612025765116337</v>
      </c>
      <c r="J111" s="113">
        <v>20335630.200000018</v>
      </c>
      <c r="M111" s="65">
        <v>0.16879145962733136</v>
      </c>
      <c r="N111" s="113">
        <v>23200489.070000004</v>
      </c>
      <c r="Q111" s="65">
        <v>0.16095745480754417</v>
      </c>
      <c r="R111" s="113">
        <v>24854876.449999992</v>
      </c>
      <c r="U111" s="65">
        <f t="shared" si="34"/>
        <v>0.14267438500117086</v>
      </c>
      <c r="V111" s="113">
        <f>IFERROR(VLOOKUP($A111,'[35]Balance Distribution'!$A$2:$C$12,3,FALSE),0)</f>
        <v>26366646.51999997</v>
      </c>
      <c r="Y111" s="65">
        <f t="shared" si="35"/>
        <v>0.13330669985207336</v>
      </c>
      <c r="Z111" s="113">
        <f>IFERROR(VLOOKUP($A111,'[36]Balance Distribution'!$A$2:$C$12,3,FALSE),0)</f>
        <v>28463184.810000028</v>
      </c>
      <c r="AC111" s="65">
        <f t="shared" si="36"/>
        <v>0.12821366555390201</v>
      </c>
      <c r="AD111" s="113">
        <f>IFERROR(VLOOKUP($B111,'[37](905__CLIENT_BALANCE_DISTRIBUTI'!$A$2:$C$12,3,FALSE),0)</f>
        <v>29876838.379999999</v>
      </c>
      <c r="AG111" s="65">
        <f t="shared" si="37"/>
        <v>0.12169196200972872</v>
      </c>
      <c r="AH111" s="113">
        <f>IFERROR(VLOOKUP($B111,'[38](905__CLIENT_BALANCE_DISTRIBUTI'!$A$1:$C$12,3,FALSE),0)</f>
        <v>30835336.890000001</v>
      </c>
      <c r="AK111" s="65">
        <f t="shared" ref="AK111:AK120" si="38">AL111/$AL$121</f>
        <v>0.11233429198862785</v>
      </c>
      <c r="AL111" s="113">
        <f>VLOOKUP(B111,'[39](905__CLIENT_BALANCE_DISTRIBUTI'!$A$2:$C$12,3,0)</f>
        <v>32518661.93</v>
      </c>
      <c r="AO111" s="65">
        <v>0.10319546220469274</v>
      </c>
      <c r="AP111" s="113">
        <v>33343074.590000018</v>
      </c>
    </row>
    <row r="112" spans="1:43">
      <c r="A112" s="83" t="s">
        <v>253</v>
      </c>
      <c r="B112" s="76" t="s">
        <v>94</v>
      </c>
      <c r="E112" s="65">
        <f t="shared" si="33"/>
        <v>0.16703213882846296</v>
      </c>
      <c r="F112" s="113">
        <f>IFERROR(VLOOKUP($A112,[34]Balance!$A$2:$C$10,3,FALSE),0)</f>
        <v>16531655.300000004</v>
      </c>
      <c r="I112" s="65">
        <v>0.16116913729908794</v>
      </c>
      <c r="J112" s="113">
        <v>19729538.24000001</v>
      </c>
      <c r="M112" s="65">
        <v>0.1597007714084869</v>
      </c>
      <c r="N112" s="113">
        <v>21950968.429999996</v>
      </c>
      <c r="Q112" s="65">
        <v>0.16206149548615512</v>
      </c>
      <c r="R112" s="113">
        <v>25025361.219999988</v>
      </c>
      <c r="U112" s="65">
        <f t="shared" si="34"/>
        <v>0.14153930097946321</v>
      </c>
      <c r="V112" s="113">
        <f>IFERROR(VLOOKUP($A112,'[35]Balance Distribution'!$A$2:$C$12,3,FALSE),0)</f>
        <v>26156879.650000006</v>
      </c>
      <c r="Y112" s="65">
        <f t="shared" si="35"/>
        <v>0.12608154925171886</v>
      </c>
      <c r="Z112" s="113">
        <f>IFERROR(VLOOKUP($A112,'[36]Balance Distribution'!$A$2:$C$12,3,FALSE),0)</f>
        <v>26920495.679999981</v>
      </c>
      <c r="AC112" s="65">
        <f t="shared" si="36"/>
        <v>0.12506098912925734</v>
      </c>
      <c r="AD112" s="113">
        <f>IFERROR(VLOOKUP($B112,'[37](905__CLIENT_BALANCE_DISTRIBUTI'!$A$2:$C$12,3,FALSE),0)</f>
        <v>29142189.670000002</v>
      </c>
      <c r="AG112" s="65">
        <f t="shared" si="37"/>
        <v>0.12236790802903826</v>
      </c>
      <c r="AH112" s="113">
        <f>IFERROR(VLOOKUP($B112,'[38](905__CLIENT_BALANCE_DISTRIBUTI'!$A$1:$C$12,3,FALSE),0)</f>
        <v>31006613.800000001</v>
      </c>
      <c r="AK112" s="65">
        <f t="shared" si="38"/>
        <v>0.11898117392734738</v>
      </c>
      <c r="AL112" s="113">
        <f>VLOOKUP(B112,'[39](905__CLIENT_BALANCE_DISTRIBUTI'!$A$2:$C$12,3,0)</f>
        <v>34442809.07</v>
      </c>
      <c r="AO112" s="65">
        <v>0.11228171687337812</v>
      </c>
      <c r="AP112" s="113">
        <v>36278898.129999973</v>
      </c>
    </row>
    <row r="113" spans="1:44">
      <c r="A113" s="83" t="s">
        <v>254</v>
      </c>
      <c r="B113" s="75" t="s">
        <v>95</v>
      </c>
      <c r="E113" s="65">
        <f t="shared" si="33"/>
        <v>0.13077995906563541</v>
      </c>
      <c r="F113" s="113">
        <f>IFERROR(VLOOKUP($A113,[34]Balance!$A$2:$C$10,3,FALSE),0)</f>
        <v>12943671.909999995</v>
      </c>
      <c r="I113" s="65">
        <v>0.12025935993918116</v>
      </c>
      <c r="J113" s="113">
        <v>14721563.199999997</v>
      </c>
      <c r="M113" s="65">
        <v>0.11660865152091322</v>
      </c>
      <c r="N113" s="113">
        <v>16027930.269999998</v>
      </c>
      <c r="Q113" s="65">
        <v>0.10719517294230127</v>
      </c>
      <c r="R113" s="113">
        <v>16552962.910000002</v>
      </c>
      <c r="U113" s="65">
        <f t="shared" si="34"/>
        <v>0.11067261159350125</v>
      </c>
      <c r="V113" s="113">
        <f>IFERROR(VLOOKUP($A113,'[35]Balance Distribution'!$A$2:$C$12,3,FALSE),0)</f>
        <v>20452624.549999997</v>
      </c>
      <c r="Y113" s="65">
        <f t="shared" si="35"/>
        <v>0.10550827850016262</v>
      </c>
      <c r="Z113" s="113">
        <f>IFERROR(VLOOKUP($A113,'[36]Balance Distribution'!$A$2:$C$12,3,FALSE),0)</f>
        <v>22527762.169999987</v>
      </c>
      <c r="AC113" s="65">
        <f t="shared" si="36"/>
        <v>0.10719475178808113</v>
      </c>
      <c r="AD113" s="113">
        <f>IFERROR(VLOOKUP($B113,'[37](905__CLIENT_BALANCE_DISTRIBUTI'!$A$2:$C$12,3,FALSE),0)</f>
        <v>24978930.760000002</v>
      </c>
      <c r="AG113" s="65">
        <f t="shared" si="37"/>
        <v>0.10892646169690114</v>
      </c>
      <c r="AH113" s="113">
        <f>IFERROR(VLOOKUP($B113,'[38](905__CLIENT_BALANCE_DISTRIBUTI'!$A$1:$C$12,3,FALSE),0)</f>
        <v>27600706.629999999</v>
      </c>
      <c r="AK113" s="65">
        <f t="shared" si="38"/>
        <v>9.9695962735895954E-2</v>
      </c>
      <c r="AL113" s="113">
        <f>VLOOKUP(B113,'[39](905__CLIENT_BALANCE_DISTRIBUTI'!$A$2:$C$12,3,0)</f>
        <v>28860103.629999999</v>
      </c>
      <c r="AO113" s="65">
        <v>9.8330539530503108E-2</v>
      </c>
      <c r="AP113" s="113">
        <v>31771188.809999987</v>
      </c>
    </row>
    <row r="114" spans="1:44">
      <c r="A114" s="83" t="s">
        <v>255</v>
      </c>
      <c r="B114" s="75" t="s">
        <v>96</v>
      </c>
      <c r="E114" s="65">
        <f t="shared" si="33"/>
        <v>9.5461405975265257E-2</v>
      </c>
      <c r="F114" s="113">
        <f>IFERROR(VLOOKUP($A114,[34]Balance!$A$2:$C$10,3,FALSE),0)</f>
        <v>9448092.2599999979</v>
      </c>
      <c r="I114" s="65">
        <v>0.11543160646203254</v>
      </c>
      <c r="J114" s="113">
        <v>14130573.209999997</v>
      </c>
      <c r="M114" s="65">
        <v>0.11094080217034676</v>
      </c>
      <c r="N114" s="113">
        <v>15248880.919999996</v>
      </c>
      <c r="Q114" s="65">
        <v>0.11309648772852748</v>
      </c>
      <c r="R114" s="113">
        <v>17464237.570000004</v>
      </c>
      <c r="U114" s="65">
        <f t="shared" si="34"/>
        <v>0.10110191692579931</v>
      </c>
      <c r="V114" s="113">
        <f>IFERROR(VLOOKUP($A114,'[35]Balance Distribution'!$A$2:$C$12,3,FALSE),0)</f>
        <v>18683931.990000002</v>
      </c>
      <c r="Y114" s="65">
        <f t="shared" si="35"/>
        <v>9.5081150095000247E-2</v>
      </c>
      <c r="Z114" s="113">
        <f>IFERROR(VLOOKUP($A114,'[36]Balance Distribution'!$A$2:$C$12,3,FALSE),0)</f>
        <v>20301397.830000002</v>
      </c>
      <c r="AC114" s="65">
        <f t="shared" si="36"/>
        <v>9.4977323734738148E-2</v>
      </c>
      <c r="AD114" s="113">
        <f>IFERROR(VLOOKUP($B114,'[37](905__CLIENT_BALANCE_DISTRIBUTI'!$A$2:$C$12,3,FALSE),0)</f>
        <v>22131978.98</v>
      </c>
      <c r="AG114" s="65">
        <f t="shared" si="37"/>
        <v>9.1099832548792087E-2</v>
      </c>
      <c r="AH114" s="113">
        <f>IFERROR(VLOOKUP($B114,'[38](905__CLIENT_BALANCE_DISTRIBUTI'!$A$1:$C$12,3,FALSE),0)</f>
        <v>23083644.809999999</v>
      </c>
      <c r="AK114" s="65">
        <f t="shared" si="38"/>
        <v>8.8165746951867366E-2</v>
      </c>
      <c r="AL114" s="113">
        <f>VLOOKUP(B114,'[39](905__CLIENT_BALANCE_DISTRIBUTI'!$A$2:$C$12,3,0)</f>
        <v>25522323.309999999</v>
      </c>
      <c r="AO114" s="65">
        <v>8.4318030212791273E-2</v>
      </c>
      <c r="AP114" s="113">
        <v>27243662.759999994</v>
      </c>
    </row>
    <row r="115" spans="1:44">
      <c r="A115" s="84" t="s">
        <v>256</v>
      </c>
      <c r="B115" s="75" t="s">
        <v>97</v>
      </c>
      <c r="E115" s="65">
        <f t="shared" si="33"/>
        <v>6.5045971680783937E-2</v>
      </c>
      <c r="F115" s="113">
        <f>IFERROR(VLOOKUP($A115,[34]Balance!$A$2:$C$10,3,FALSE),0)</f>
        <v>6437788.4999999991</v>
      </c>
      <c r="I115" s="65">
        <v>8.8141182807103008E-2</v>
      </c>
      <c r="J115" s="113">
        <v>10789812.9</v>
      </c>
      <c r="M115" s="65">
        <v>8.8462991468214874E-2</v>
      </c>
      <c r="N115" s="113">
        <v>12159292.129999999</v>
      </c>
      <c r="Q115" s="65">
        <v>8.7459144247211421E-2</v>
      </c>
      <c r="R115" s="113">
        <v>13505346.659999998</v>
      </c>
      <c r="U115" s="65">
        <f t="shared" si="34"/>
        <v>8.2151780224414508E-2</v>
      </c>
      <c r="V115" s="113">
        <f>IFERROR(VLOOKUP($A115,'[35]Balance Distribution'!$A$2:$C$12,3,FALSE),0)</f>
        <v>15181890.920000007</v>
      </c>
      <c r="Y115" s="65">
        <f t="shared" si="35"/>
        <v>8.108829777258475E-2</v>
      </c>
      <c r="Z115" s="113">
        <f>IFERROR(VLOOKUP($A115,'[36]Balance Distribution'!$A$2:$C$12,3,FALSE),0)</f>
        <v>17313692.470000006</v>
      </c>
      <c r="AC115" s="65">
        <f t="shared" si="36"/>
        <v>7.9314329287758389E-2</v>
      </c>
      <c r="AD115" s="113">
        <f>IFERROR(VLOOKUP($B115,'[37](905__CLIENT_BALANCE_DISTRIBUTI'!$A$2:$C$12,3,FALSE),0)</f>
        <v>18482128.149999999</v>
      </c>
      <c r="AG115" s="65">
        <f t="shared" si="37"/>
        <v>8.4846207104993937E-2</v>
      </c>
      <c r="AH115" s="113">
        <f>IFERROR(VLOOKUP($B115,'[38](905__CLIENT_BALANCE_DISTRIBUTI'!$A$1:$C$12,3,FALSE),0)</f>
        <v>21499048.390000001</v>
      </c>
      <c r="AK115" s="65">
        <f t="shared" si="38"/>
        <v>8.2255516803897782E-2</v>
      </c>
      <c r="AL115" s="113">
        <f>VLOOKUP(B115,'[39](905__CLIENT_BALANCE_DISTRIBUTI'!$A$2:$C$12,3,0)</f>
        <v>23811422.989999998</v>
      </c>
      <c r="AO115" s="65">
        <v>7.8057663013740883E-2</v>
      </c>
      <c r="AP115" s="113">
        <v>25220900.460000001</v>
      </c>
    </row>
    <row r="116" spans="1:44">
      <c r="A116" s="105" t="s">
        <v>257</v>
      </c>
      <c r="B116" s="75" t="s">
        <v>157</v>
      </c>
      <c r="E116" s="65">
        <f t="shared" si="33"/>
        <v>9.3932661451884086E-2</v>
      </c>
      <c r="F116" s="113">
        <f>IFERROR(VLOOKUP($A116,[34]Balance!$A$2:$C$10,3,FALSE),0)</f>
        <v>9296787.9800000004</v>
      </c>
      <c r="I116" s="65">
        <v>0.10417744102222048</v>
      </c>
      <c r="J116" s="113">
        <v>12752893.270000001</v>
      </c>
      <c r="M116" s="65">
        <v>0.11273370523710817</v>
      </c>
      <c r="N116" s="113">
        <v>15495316.540000003</v>
      </c>
      <c r="Q116" s="65">
        <v>0.1179040665319195</v>
      </c>
      <c r="R116" s="113">
        <v>18206618.699999996</v>
      </c>
      <c r="U116" s="65">
        <f t="shared" si="34"/>
        <v>0.13270986300559931</v>
      </c>
      <c r="V116" s="113">
        <f>IFERROR(VLOOKUP($A116,'[35]Balance Distribution'!$A$2:$C$12,3,FALSE),0)</f>
        <v>24525173.510000009</v>
      </c>
      <c r="Y116" s="65">
        <f t="shared" si="35"/>
        <v>0.15117009407514545</v>
      </c>
      <c r="Z116" s="113">
        <f>IFERROR(VLOOKUP($A116,'[36]Balance Distribution'!$A$2:$C$12,3,FALSE),0)</f>
        <v>32277314.870000008</v>
      </c>
      <c r="AC116" s="65">
        <f t="shared" si="36"/>
        <v>0.14685096011342566</v>
      </c>
      <c r="AD116" s="113">
        <f>IFERROR(VLOOKUP($B116,'[37](905__CLIENT_BALANCE_DISTRIBUTI'!$A$2:$C$12,3,FALSE),0)</f>
        <v>34219771.990000002</v>
      </c>
      <c r="AG116" s="65">
        <f t="shared" si="37"/>
        <v>0.14259312426589341</v>
      </c>
      <c r="AH116" s="113">
        <f>IFERROR(VLOOKUP($B116,'[38](905__CLIENT_BALANCE_DISTRIBUTI'!$A$1:$C$12,3,FALSE),0)</f>
        <v>36131449.869999997</v>
      </c>
      <c r="AK116" s="65">
        <f t="shared" si="38"/>
        <v>0.13315352528840774</v>
      </c>
      <c r="AL116" s="113">
        <f>VLOOKUP(B116,'[39](905__CLIENT_BALANCE_DISTRIBUTI'!$A$2:$C$12,3,0)</f>
        <v>38545437.880000003</v>
      </c>
      <c r="AO116" s="65">
        <v>0.12755355022324144</v>
      </c>
      <c r="AP116" s="113">
        <v>41213319.349999964</v>
      </c>
    </row>
    <row r="117" spans="1:44">
      <c r="A117" s="105" t="s">
        <v>258</v>
      </c>
      <c r="B117" s="75" t="s">
        <v>156</v>
      </c>
      <c r="E117" s="65">
        <f t="shared" si="33"/>
        <v>9.8850580965835683E-2</v>
      </c>
      <c r="F117" s="113">
        <f>IFERROR(VLOOKUP($A117,[34]Balance!$A$2:$C$10,3,FALSE),0)</f>
        <v>9783528.7399999984</v>
      </c>
      <c r="I117" s="65">
        <v>0.1029313963501088</v>
      </c>
      <c r="J117" s="113">
        <v>12600358.569999998</v>
      </c>
      <c r="M117" s="65">
        <v>0.10599205955986031</v>
      </c>
      <c r="N117" s="113">
        <v>14568673.230000002</v>
      </c>
      <c r="Q117" s="65">
        <v>0.10716953968452393</v>
      </c>
      <c r="R117" s="113">
        <v>16549004.65</v>
      </c>
      <c r="U117" s="65">
        <f t="shared" si="34"/>
        <v>0.12883154017845844</v>
      </c>
      <c r="V117" s="113">
        <f>IFERROR(VLOOKUP($A117,'[35]Balance Distribution'!$A$2:$C$12,3,FALSE),0)</f>
        <v>23808448.029999997</v>
      </c>
      <c r="Y117" s="65">
        <f t="shared" si="35"/>
        <v>0.1476296666060978</v>
      </c>
      <c r="Z117" s="113">
        <f>IFERROR(VLOOKUP($A117,'[36]Balance Distribution'!$A$2:$C$12,3,FALSE),0)</f>
        <v>31521375.060000006</v>
      </c>
      <c r="AC117" s="65">
        <f t="shared" si="36"/>
        <v>0.15878279122895855</v>
      </c>
      <c r="AD117" s="113">
        <f>IFERROR(VLOOKUP($B117,'[37](905__CLIENT_BALANCE_DISTRIBUTI'!$A$2:$C$12,3,FALSE),0)</f>
        <v>37000172.880000003</v>
      </c>
      <c r="AG117" s="65">
        <f t="shared" si="37"/>
        <v>0.16071138415635094</v>
      </c>
      <c r="AH117" s="113">
        <f>IFERROR(VLOOKUP($B117,'[38](905__CLIENT_BALANCE_DISTRIBUTI'!$A$1:$C$12,3,FALSE),0)</f>
        <v>40722407.549999997</v>
      </c>
      <c r="AK117" s="65">
        <f t="shared" si="38"/>
        <v>0.17900637720698601</v>
      </c>
      <c r="AL117" s="113">
        <f>VLOOKUP(B117,'[39](905__CLIENT_BALANCE_DISTRIBUTI'!$A$2:$C$12,3,0)</f>
        <v>51818974.960000001</v>
      </c>
      <c r="AO117" s="65">
        <v>0.19966795028591361</v>
      </c>
      <c r="AP117" s="113">
        <v>64513915.800000034</v>
      </c>
    </row>
    <row r="118" spans="1:44">
      <c r="A118" s="105" t="s">
        <v>259</v>
      </c>
      <c r="B118" s="75" t="s">
        <v>172</v>
      </c>
      <c r="E118" s="65">
        <f t="shared" si="33"/>
        <v>3.3564218129318174E-2</v>
      </c>
      <c r="F118" s="113">
        <f>IFERROR(VLOOKUP($A118,[34]Balance!$A$2:$C$10,3,FALSE),0)</f>
        <v>3321948.0300000003</v>
      </c>
      <c r="I118" s="65">
        <v>3.547323148898443E-2</v>
      </c>
      <c r="J118" s="113">
        <v>4342459.66</v>
      </c>
      <c r="M118" s="65">
        <v>2.8615031342150134E-2</v>
      </c>
      <c r="N118" s="113">
        <v>3933153.5100000007</v>
      </c>
      <c r="Q118" s="65">
        <v>4.0464404890766741E-2</v>
      </c>
      <c r="R118" s="113">
        <v>6248469.7299999995</v>
      </c>
      <c r="U118" s="65">
        <f t="shared" si="34"/>
        <v>6.135298239884969E-2</v>
      </c>
      <c r="V118" s="113">
        <f>IFERROR(VLOOKUP($A118,'[35]Balance Distribution'!$A$2:$C$12,3,FALSE),0)</f>
        <v>11338211.829999998</v>
      </c>
      <c r="Y118" s="65">
        <f t="shared" si="35"/>
        <v>6.4635415144087452E-2</v>
      </c>
      <c r="Z118" s="113">
        <f>IFERROR(VLOOKUP($A118,'[36]Balance Distribution'!$A$2:$C$12,3,FALSE),0)</f>
        <v>13800729.959999997</v>
      </c>
      <c r="AC118" s="65">
        <f t="shared" si="36"/>
        <v>6.6334650197266087E-2</v>
      </c>
      <c r="AD118" s="113">
        <f>IFERROR(VLOOKUP($B118,'[37](905__CLIENT_BALANCE_DISTRIBUTI'!$A$2:$C$12,3,FALSE),0)</f>
        <v>15457553.720000001</v>
      </c>
      <c r="AG118" s="65">
        <f t="shared" si="37"/>
        <v>7.4301198860856912E-2</v>
      </c>
      <c r="AH118" s="113">
        <f>IFERROR(VLOOKUP($B118,'[38](905__CLIENT_BALANCE_DISTRIBUTI'!$A$1:$C$12,3,FALSE),0)</f>
        <v>18827065.16</v>
      </c>
      <c r="AK118" s="65">
        <f t="shared" si="38"/>
        <v>9.0554210033443508E-2</v>
      </c>
      <c r="AL118" s="113">
        <f>VLOOKUP(B118,'[39](905__CLIENT_BALANCE_DISTRIBUTI'!$A$2:$C$12,3,0)</f>
        <v>26213738.390000001</v>
      </c>
      <c r="AO118" s="65">
        <v>0.10043315408371478</v>
      </c>
      <c r="AP118" s="113">
        <v>32450556.219999999</v>
      </c>
    </row>
    <row r="119" spans="1:44">
      <c r="A119" s="105" t="s">
        <v>260</v>
      </c>
      <c r="B119" s="75" t="s">
        <v>173</v>
      </c>
      <c r="E119" s="65">
        <f t="shared" si="33"/>
        <v>0</v>
      </c>
      <c r="F119" s="113">
        <f>IFERROR(VLOOKUP($A119,[34]Balance!$A$2:$C$10,3,FALSE),0)</f>
        <v>0</v>
      </c>
      <c r="I119" s="65">
        <v>3.4225458598894616E-3</v>
      </c>
      <c r="J119" s="113">
        <v>418971.33999999997</v>
      </c>
      <c r="M119" s="65">
        <v>1.5199314005750319E-2</v>
      </c>
      <c r="N119" s="113">
        <v>2089154.98</v>
      </c>
      <c r="Q119" s="65">
        <v>1.6830883535633986E-2</v>
      </c>
      <c r="R119" s="113">
        <v>2599006.8699999996</v>
      </c>
      <c r="U119" s="65">
        <f t="shared" si="34"/>
        <v>1.482007237733469E-2</v>
      </c>
      <c r="V119" s="113">
        <f>IFERROR(VLOOKUP($A119,'[35]Balance Distribution'!$A$2:$C$12,3,FALSE),0)</f>
        <v>2738793.0199999996</v>
      </c>
      <c r="Y119" s="65">
        <f t="shared" si="35"/>
        <v>1.7078544051975203E-2</v>
      </c>
      <c r="Z119" s="113">
        <f>IFERROR(VLOOKUP($A119,'[36]Balance Distribution'!$A$2:$C$12,3,FALSE),0)</f>
        <v>3646551.5700000003</v>
      </c>
      <c r="AC119" s="65">
        <f t="shared" si="36"/>
        <v>1.8013134124973712E-2</v>
      </c>
      <c r="AD119" s="113">
        <f>IFERROR(VLOOKUP($B119,'[37](905__CLIENT_BALANCE_DISTRIBUTI'!$A$2:$C$12,3,FALSE),0)</f>
        <v>4197489.3600000003</v>
      </c>
      <c r="AG119" s="65">
        <f t="shared" si="37"/>
        <v>1.2522906060889901E-2</v>
      </c>
      <c r="AH119" s="113">
        <f>IFERROR(VLOOKUP($B119,'[38](905__CLIENT_BALANCE_DISTRIBUTI'!$A$1:$C$12,3,FALSE),0)</f>
        <v>3173159.68</v>
      </c>
      <c r="AK119" s="65">
        <f t="shared" si="38"/>
        <v>1.8060071905972405E-2</v>
      </c>
      <c r="AL119" s="113">
        <f>VLOOKUP(B119,'[39](905__CLIENT_BALANCE_DISTRIBUTI'!$A$2:$C$12,3,0)</f>
        <v>5228050.6900000004</v>
      </c>
      <c r="AO119" s="65">
        <v>2.293997563963026E-2</v>
      </c>
      <c r="AP119" s="113">
        <v>7412044.120000001</v>
      </c>
    </row>
    <row r="120" spans="1:44" ht="13.5" thickBot="1">
      <c r="A120" s="105" t="s">
        <v>261</v>
      </c>
      <c r="B120" s="75" t="s">
        <v>174</v>
      </c>
      <c r="E120" s="65">
        <f t="shared" si="33"/>
        <v>0</v>
      </c>
      <c r="F120" s="113">
        <f>IFERROR(VLOOKUP($A120,[34]Balance!$A$2:$C$10,3,FALSE),0)</f>
        <v>0</v>
      </c>
      <c r="I120" s="65">
        <v>0</v>
      </c>
      <c r="J120" s="113">
        <v>0</v>
      </c>
      <c r="M120" s="65">
        <v>0</v>
      </c>
      <c r="N120" s="113">
        <v>0</v>
      </c>
      <c r="Q120" s="65">
        <v>0</v>
      </c>
      <c r="R120" s="113">
        <v>0</v>
      </c>
      <c r="U120" s="65">
        <f t="shared" si="34"/>
        <v>7.824800845217833E-3</v>
      </c>
      <c r="V120" s="113">
        <f>IFERROR(VLOOKUP($A120,'[35]Balance Distribution'!$A$2:$C$12,3,FALSE),0)</f>
        <v>1446046.2400000007</v>
      </c>
      <c r="Y120" s="65">
        <f t="shared" si="35"/>
        <v>1.1134061847686706E-2</v>
      </c>
      <c r="Z120" s="113">
        <f>IFERROR(VLOOKUP($A120,'[36]Balance Distribution'!$A$2:$C$12,3,FALSE),0)</f>
        <v>2377306.3200000003</v>
      </c>
      <c r="AC120" s="65">
        <f t="shared" si="36"/>
        <v>1.2723131757747926E-2</v>
      </c>
      <c r="AD120" s="113">
        <f>IFERROR(VLOOKUP($B120,'[37](905__CLIENT_BALANCE_DISTRIBUTI'!$A$2:$C$12,3,FALSE),0)</f>
        <v>2964792.79</v>
      </c>
      <c r="AG120" s="65">
        <f t="shared" si="37"/>
        <v>2.06004704455032E-2</v>
      </c>
      <c r="AH120" s="113">
        <f>IFERROR(VLOOKUP($B120,'[38](905__CLIENT_BALANCE_DISTRIBUTI'!$A$1:$C$12,3,FALSE),0)</f>
        <v>5219921.1500000004</v>
      </c>
      <c r="AK120" s="65">
        <f t="shared" si="38"/>
        <v>2.7277369108375152E-2</v>
      </c>
      <c r="AL120" s="113">
        <f>VLOOKUP(B120,'[39](905__CLIENT_BALANCE_DISTRIBUTI'!$A$2:$C$12,3,0)</f>
        <v>7896284.6399999997</v>
      </c>
      <c r="AO120" s="65">
        <v>2.9931083892141955E-2</v>
      </c>
      <c r="AP120" s="113">
        <v>9670913.25</v>
      </c>
    </row>
    <row r="121" spans="1:44" ht="13.5" thickBot="1">
      <c r="A121" s="107" t="s">
        <v>156</v>
      </c>
      <c r="B121" s="3" t="s">
        <v>46</v>
      </c>
      <c r="C121" s="55"/>
      <c r="D121" s="55"/>
      <c r="E121" s="134">
        <f>SUM(E110:E120)</f>
        <v>0.99999999999999989</v>
      </c>
      <c r="F121" s="141">
        <f>SUM(F110:F120)</f>
        <v>98972900.75999999</v>
      </c>
      <c r="G121" s="91"/>
      <c r="H121" s="55"/>
      <c r="I121" s="134">
        <v>1.0000000000000002</v>
      </c>
      <c r="J121" s="141">
        <v>122415113.53000002</v>
      </c>
      <c r="K121" s="91"/>
      <c r="L121" s="55"/>
      <c r="M121" s="134">
        <v>1.0000000000000002</v>
      </c>
      <c r="N121" s="141">
        <v>137450609.88999999</v>
      </c>
      <c r="O121" s="91"/>
      <c r="P121" s="55"/>
      <c r="Q121" s="134">
        <v>1.0000000000000002</v>
      </c>
      <c r="R121" s="120">
        <v>154418920.69999996</v>
      </c>
      <c r="S121" s="91"/>
      <c r="T121" s="55"/>
      <c r="U121" s="134">
        <f>SUM(U110:U120)</f>
        <v>1</v>
      </c>
      <c r="V121" s="120">
        <f>SUM(V110:V120)</f>
        <v>184802944.97</v>
      </c>
      <c r="W121" s="91"/>
      <c r="X121" s="55"/>
      <c r="Y121" s="134">
        <f>SUM(Y110:Y120)</f>
        <v>1</v>
      </c>
      <c r="Z121" s="120">
        <f>SUM(Z110:Z120)</f>
        <v>213516536.24000004</v>
      </c>
      <c r="AA121" s="91"/>
      <c r="AB121" s="55"/>
      <c r="AC121" s="134">
        <f>SUM(AC110:AC120)</f>
        <v>1</v>
      </c>
      <c r="AD121" s="120">
        <f>SUM(AD110:AD120)</f>
        <v>233023822.00000003</v>
      </c>
      <c r="AE121" s="91"/>
      <c r="AF121" s="55"/>
      <c r="AG121" s="134">
        <f>SUM(AG110:AG120)</f>
        <v>0.99999999999999978</v>
      </c>
      <c r="AH121" s="120">
        <f>SUM(AH110:AH120)</f>
        <v>253388443.91000003</v>
      </c>
      <c r="AI121" s="91"/>
      <c r="AJ121" s="92"/>
      <c r="AK121" s="134">
        <f>SUM(AK110:AK120)</f>
        <v>1</v>
      </c>
      <c r="AL121" s="120">
        <f>SUM(AL110:AL120)</f>
        <v>289481166.92000002</v>
      </c>
      <c r="AM121" s="91"/>
      <c r="AN121" s="92"/>
      <c r="AO121" s="134">
        <v>1</v>
      </c>
      <c r="AP121" s="120">
        <v>323106015.29999995</v>
      </c>
      <c r="AQ121" s="91"/>
      <c r="AR121" s="92"/>
    </row>
    <row r="122" spans="1:44">
      <c r="A122" s="83" t="s">
        <v>82</v>
      </c>
      <c r="E122" s="65"/>
      <c r="I122" s="65"/>
      <c r="M122" s="65"/>
      <c r="Q122" s="65"/>
      <c r="U122" s="65"/>
      <c r="Y122" s="65"/>
      <c r="AC122" s="65"/>
      <c r="AG122" s="65"/>
      <c r="AK122" s="65"/>
      <c r="AO122" s="65"/>
    </row>
    <row r="123" spans="1:44">
      <c r="A123" s="83" t="s">
        <v>83</v>
      </c>
      <c r="B123" s="70" t="s">
        <v>81</v>
      </c>
      <c r="C123" s="55"/>
      <c r="D123" s="55"/>
      <c r="E123" s="65"/>
      <c r="H123" s="55"/>
      <c r="I123" s="65"/>
      <c r="L123" s="55"/>
      <c r="M123" s="65"/>
      <c r="P123" s="55"/>
      <c r="Q123" s="65"/>
      <c r="T123" s="55"/>
      <c r="U123" s="65"/>
      <c r="X123" s="55"/>
      <c r="Y123" s="65"/>
      <c r="AB123" s="55"/>
      <c r="AC123" s="65"/>
      <c r="AF123" s="55"/>
      <c r="AG123" s="65"/>
      <c r="AK123" s="65"/>
      <c r="AO123" s="65"/>
    </row>
    <row r="124" spans="1:44">
      <c r="A124" s="83" t="s">
        <v>82</v>
      </c>
      <c r="B124" s="1" t="s">
        <v>82</v>
      </c>
      <c r="E124" s="65">
        <f t="shared" ref="E124:E133" si="39">F124/F$134</f>
        <v>0.82382303614317154</v>
      </c>
      <c r="F124" s="113">
        <f>IFERROR(VLOOKUP($A124,[34]Residual!$A$2:$C$11,3,FALSE),0)</f>
        <v>81536155.600000009</v>
      </c>
      <c r="I124" s="65">
        <v>0.84316017943899724</v>
      </c>
      <c r="J124" s="113">
        <v>103215549.09000003</v>
      </c>
      <c r="M124" s="65">
        <v>0.84038447688549589</v>
      </c>
      <c r="N124" s="113">
        <v>115511358.89</v>
      </c>
      <c r="Q124" s="65">
        <v>0.84020017729601981</v>
      </c>
      <c r="R124" s="113">
        <v>129742804.55000012</v>
      </c>
      <c r="U124" s="65">
        <f t="shared" ref="U124:U133" si="40">V124/V$134</f>
        <v>0.84988643116859741</v>
      </c>
      <c r="V124" s="113">
        <f>IFERROR(VLOOKUP($A124,[35]Residual!$A$2:$C$11,3,FALSE),0)</f>
        <v>157061515.37000012</v>
      </c>
      <c r="Y124" s="65">
        <f t="shared" ref="Y124:Y133" si="41">Z124/Z$134</f>
        <v>0.858525774762259</v>
      </c>
      <c r="Z124" s="113">
        <f>IFERROR(VLOOKUP($A124,[40]Residual!$A$4:$B$13,2,FALSE),0)</f>
        <v>183309449.69999981</v>
      </c>
      <c r="AC124" s="65">
        <f t="shared" ref="AC124:AC133" si="42">AD124/AD$134</f>
        <v>0.84701703390651628</v>
      </c>
      <c r="AD124" s="113">
        <f>IFERROR(VLOOKUP($B124,'[37](904__RESIDUAL_BALLOON_PAYMENT'!$A$2:$C$11,3,FALSE),0)</f>
        <v>197375146.53999999</v>
      </c>
      <c r="AG124" s="65">
        <f t="shared" ref="AG124:AG133" si="43">AH124/AH$134</f>
        <v>0.8373665038385214</v>
      </c>
      <c r="AH124" s="113">
        <f>IFERROR(VLOOKUP($B124,'[38](904__RESIDUAL_BALLOON_PAYMENT'!$A$1:$C$11,3,FALSE),0)</f>
        <v>212178995.38999999</v>
      </c>
      <c r="AK124" s="65">
        <f>AL124/$AL$134</f>
        <v>0.838779502423045</v>
      </c>
      <c r="AL124" s="113">
        <f>VLOOKUP(B124,'[39](904__RESIDUAL_BALLOON_PAYMENT'!$A$2:$C$11,3,0)</f>
        <v>242810869.15000001</v>
      </c>
      <c r="AO124" s="65">
        <v>0.83744396379859021</v>
      </c>
      <c r="AP124" s="113">
        <v>270583182.17999965</v>
      </c>
    </row>
    <row r="125" spans="1:44">
      <c r="A125" s="83" t="s">
        <v>83</v>
      </c>
      <c r="B125" s="1" t="s">
        <v>83</v>
      </c>
      <c r="E125" s="65">
        <f t="shared" si="39"/>
        <v>1.0326288227909062E-3</v>
      </c>
      <c r="F125" s="113">
        <f>IFERROR(VLOOKUP($A125,[34]Residual!$A$2:$C$11,3,FALSE),0)</f>
        <v>102202.26999999999</v>
      </c>
      <c r="I125" s="65">
        <v>8.8090601634391167E-4</v>
      </c>
      <c r="J125" s="113">
        <v>107836.20999999999</v>
      </c>
      <c r="M125" s="65">
        <v>8.6496626020900365E-4</v>
      </c>
      <c r="N125" s="113">
        <v>118890.13999999998</v>
      </c>
      <c r="Q125" s="65">
        <v>8.2196507671873599E-4</v>
      </c>
      <c r="R125" s="113">
        <v>126926.95999999999</v>
      </c>
      <c r="U125" s="65">
        <f t="shared" si="40"/>
        <v>7.3190749217744947E-4</v>
      </c>
      <c r="V125" s="113">
        <f>IFERROR(VLOOKUP($A125,[35]Residual!$A$2:$C$11,3,FALSE),0)</f>
        <v>135258.66</v>
      </c>
      <c r="Y125" s="65">
        <f t="shared" si="41"/>
        <v>6.6999176044707889E-4</v>
      </c>
      <c r="Z125" s="113">
        <f>IFERROR(VLOOKUP($A125,[40]Residual!$A$4:$B$13,2,FALSE),0)</f>
        <v>143054.32</v>
      </c>
      <c r="AC125" s="65">
        <f t="shared" si="42"/>
        <v>3.737180617525019E-2</v>
      </c>
      <c r="AD125" s="113">
        <f>IFERROR(VLOOKUP($B125,'[37](904__RESIDUAL_BALLOON_PAYMENT'!$A$2:$C$11,3,FALSE),0)</f>
        <v>8708521.1099999994</v>
      </c>
      <c r="AG125" s="65">
        <f t="shared" si="43"/>
        <v>3.7576737609162268E-2</v>
      </c>
      <c r="AH125" s="113">
        <f>IFERROR(VLOOKUP($B125,'[38](904__RESIDUAL_BALLOON_PAYMENT'!$A$1:$C$11,3,FALSE),0)</f>
        <v>9521511.0700000003</v>
      </c>
      <c r="AK125" s="65">
        <f t="shared" ref="AK125:AK133" si="44">AL125/$AL$134</f>
        <v>3.5985166568292905E-2</v>
      </c>
      <c r="AL125" s="113">
        <f>VLOOKUP(B125,'[39](904__RESIDUAL_BALLOON_PAYMENT'!$A$2:$C$11,3,0)</f>
        <v>10417028.01</v>
      </c>
      <c r="AO125" s="65">
        <v>3.748525597319638E-2</v>
      </c>
      <c r="AP125" s="113">
        <v>12111711.689999992</v>
      </c>
    </row>
    <row r="126" spans="1:44">
      <c r="A126" s="83" t="s">
        <v>262</v>
      </c>
      <c r="B126" s="1" t="s">
        <v>84</v>
      </c>
      <c r="E126" s="65">
        <f t="shared" si="39"/>
        <v>2.4742660679797981E-3</v>
      </c>
      <c r="F126" s="113">
        <f>IFERROR(VLOOKUP($A126,[34]Residual!$A$2:$C$11,3,FALSE),0)</f>
        <v>244885.28999999998</v>
      </c>
      <c r="I126" s="65">
        <v>2.2040678002874041E-3</v>
      </c>
      <c r="J126" s="113">
        <v>269811.20999999996</v>
      </c>
      <c r="M126" s="65">
        <v>2.0536066753424867E-3</v>
      </c>
      <c r="N126" s="113">
        <v>282269.49</v>
      </c>
      <c r="Q126" s="65">
        <v>2.36870208872014E-3</v>
      </c>
      <c r="R126" s="113">
        <v>365772.41999999993</v>
      </c>
      <c r="U126" s="65">
        <f t="shared" si="40"/>
        <v>3.2723782626849955E-3</v>
      </c>
      <c r="V126" s="113">
        <f>IFERROR(VLOOKUP($A126,[35]Residual!$A$2:$C$11,3,FALSE),0)</f>
        <v>604745.1399999999</v>
      </c>
      <c r="Y126" s="65">
        <f t="shared" si="41"/>
        <v>2.9436068562555496E-3</v>
      </c>
      <c r="Z126" s="113">
        <f>IFERROR(VLOOKUP($A126,[40]Residual!$A$4:$B$13,2,FALSE),0)</f>
        <v>628508.74</v>
      </c>
      <c r="AC126" s="65">
        <f t="shared" si="42"/>
        <v>2.4193048211182462E-2</v>
      </c>
      <c r="AD126" s="113">
        <f>IFERROR(VLOOKUP($B126,'[37](904__RESIDUAL_BALLOON_PAYMENT'!$A$2:$C$11,3,FALSE),0)</f>
        <v>5637556.5599999996</v>
      </c>
      <c r="AG126" s="65">
        <f t="shared" si="43"/>
        <v>2.2697665691663468E-2</v>
      </c>
      <c r="AH126" s="113">
        <f>IFERROR(VLOOKUP($B126,'[38](904__RESIDUAL_BALLOON_PAYMENT'!$A$1:$C$11,3,FALSE),0)</f>
        <v>5751326.1900000004</v>
      </c>
      <c r="AK126" s="65">
        <f t="shared" si="44"/>
        <v>2.2021875370433857E-2</v>
      </c>
      <c r="AL126" s="113">
        <f>VLOOKUP(B126,'[39](904__RESIDUAL_BALLOON_PAYMENT'!$A$2:$C$11,3,0)</f>
        <v>6374918.1799999997</v>
      </c>
      <c r="AO126" s="65">
        <v>2.2185836043145959E-2</v>
      </c>
      <c r="AP126" s="113">
        <v>7168377.0800000019</v>
      </c>
    </row>
    <row r="127" spans="1:44">
      <c r="A127" s="83" t="s">
        <v>85</v>
      </c>
      <c r="B127" s="1" t="s">
        <v>85</v>
      </c>
      <c r="E127" s="65">
        <f t="shared" si="39"/>
        <v>4.9019971757368139E-3</v>
      </c>
      <c r="F127" s="113">
        <f>IFERROR(VLOOKUP($A127,[34]Residual!$A$2:$C$11,3,FALSE),0)</f>
        <v>485164.88</v>
      </c>
      <c r="I127" s="65">
        <v>4.3537263874643068E-3</v>
      </c>
      <c r="J127" s="113">
        <v>532961.90999999992</v>
      </c>
      <c r="M127" s="65">
        <v>4.5589180033575767E-3</v>
      </c>
      <c r="N127" s="113">
        <v>626626.05999999994</v>
      </c>
      <c r="Q127" s="65">
        <v>4.7094412181058563E-3</v>
      </c>
      <c r="R127" s="113">
        <v>727226.83000000007</v>
      </c>
      <c r="U127" s="65">
        <f t="shared" si="40"/>
        <v>4.2343502703759937E-3</v>
      </c>
      <c r="V127" s="113">
        <f>IFERROR(VLOOKUP($A127,[35]Residual!$A$2:$C$11,3,FALSE),0)</f>
        <v>782520.4</v>
      </c>
      <c r="Y127" s="65">
        <f t="shared" si="41"/>
        <v>5.2839329443404659E-3</v>
      </c>
      <c r="Z127" s="113">
        <f>IFERROR(VLOOKUP($A127,[40]Residual!$A$4:$B$13,2,FALSE),0)</f>
        <v>1128207.06</v>
      </c>
      <c r="AC127" s="65">
        <f t="shared" si="42"/>
        <v>3.1954577888607463E-2</v>
      </c>
      <c r="AD127" s="113">
        <f>IFERROR(VLOOKUP($B127,'[37](904__RESIDUAL_BALLOON_PAYMENT'!$A$2:$C$11,3,FALSE),0)</f>
        <v>7446177.8700000001</v>
      </c>
      <c r="AG127" s="65">
        <f t="shared" si="43"/>
        <v>3.065804110924342E-2</v>
      </c>
      <c r="AH127" s="113">
        <f>IFERROR(VLOOKUP($B127,'[38](904__RESIDUAL_BALLOON_PAYMENT'!$A$1:$C$11,3,FALSE),0)</f>
        <v>7768393.3300000001</v>
      </c>
      <c r="AK127" s="65">
        <f t="shared" si="44"/>
        <v>3.0876074651412767E-2</v>
      </c>
      <c r="AL127" s="113">
        <f>VLOOKUP(B127,'[39](904__RESIDUAL_BALLOON_PAYMENT'!$A$2:$C$11,3,0)</f>
        <v>8938042.1199999992</v>
      </c>
      <c r="AO127" s="65">
        <v>2.9488987108931781E-2</v>
      </c>
      <c r="AP127" s="113">
        <v>9528069.1200000048</v>
      </c>
    </row>
    <row r="128" spans="1:44">
      <c r="A128" s="83" t="s">
        <v>86</v>
      </c>
      <c r="B128" s="1" t="s">
        <v>86</v>
      </c>
      <c r="E128" s="65">
        <f t="shared" si="39"/>
        <v>2.3942119729784505E-2</v>
      </c>
      <c r="F128" s="113">
        <f>IFERROR(VLOOKUP($A128,[34]Residual!$A$2:$C$11,3,FALSE),0)</f>
        <v>2369621.04</v>
      </c>
      <c r="I128" s="65">
        <v>2.1050939509756464E-2</v>
      </c>
      <c r="J128" s="113">
        <v>2576953.1500000004</v>
      </c>
      <c r="M128" s="65">
        <v>2.2145136587141845E-2</v>
      </c>
      <c r="N128" s="113">
        <v>3043862.5299999993</v>
      </c>
      <c r="Q128" s="65">
        <v>2.1442229650294391E-2</v>
      </c>
      <c r="R128" s="113">
        <v>3311085.9600000009</v>
      </c>
      <c r="U128" s="65">
        <f t="shared" si="40"/>
        <v>2.0372497746781969E-2</v>
      </c>
      <c r="V128" s="113">
        <f>IFERROR(VLOOKUP($A128,[35]Residual!$A$2:$C$11,3,FALSE),0)</f>
        <v>3764897.58</v>
      </c>
      <c r="Y128" s="65">
        <f t="shared" si="41"/>
        <v>1.9170488815906446E-2</v>
      </c>
      <c r="Z128" s="113">
        <f>IFERROR(VLOOKUP($A128,[40]Residual!$A$4:$B$13,2,FALSE),0)</f>
        <v>4093216.37</v>
      </c>
      <c r="AC128" s="65">
        <f t="shared" si="42"/>
        <v>1.6361570234651804E-2</v>
      </c>
      <c r="AD128" s="113">
        <f>IFERROR(VLOOKUP($B128,'[37](904__RESIDUAL_BALLOON_PAYMENT'!$A$2:$C$11,3,FALSE),0)</f>
        <v>3812635.63</v>
      </c>
      <c r="AG128" s="65">
        <f t="shared" si="43"/>
        <v>1.6139357371216748E-2</v>
      </c>
      <c r="AH128" s="113">
        <f>IFERROR(VLOOKUP($B128,'[38](904__RESIDUAL_BALLOON_PAYMENT'!$A$1:$C$11,3,FALSE),0)</f>
        <v>4089526.65</v>
      </c>
      <c r="AK128" s="65">
        <f t="shared" si="44"/>
        <v>1.6092826139834603E-2</v>
      </c>
      <c r="AL128" s="113">
        <f>VLOOKUP(B128,'[39](904__RESIDUAL_BALLOON_PAYMENT'!$A$2:$C$11,3,0)</f>
        <v>4658570.09</v>
      </c>
      <c r="AO128" s="65">
        <v>1.6801215090222445E-2</v>
      </c>
      <c r="AP128" s="113">
        <v>5428573.6599999983</v>
      </c>
    </row>
    <row r="129" spans="1:42">
      <c r="A129" s="83" t="s">
        <v>87</v>
      </c>
      <c r="B129" s="1" t="s">
        <v>87</v>
      </c>
      <c r="E129" s="65">
        <f t="shared" si="39"/>
        <v>2.7796205414561802E-2</v>
      </c>
      <c r="F129" s="113">
        <f>IFERROR(VLOOKUP($A129,[34]Residual!$A$2:$C$11,3,FALSE),0)</f>
        <v>2751071.08</v>
      </c>
      <c r="I129" s="65">
        <v>2.5219497339627226E-2</v>
      </c>
      <c r="J129" s="113">
        <v>3087247.6300000004</v>
      </c>
      <c r="M129" s="65">
        <v>2.5566226245283926E-2</v>
      </c>
      <c r="N129" s="113">
        <v>3514093.39</v>
      </c>
      <c r="Q129" s="65">
        <v>2.7371385390080622E-2</v>
      </c>
      <c r="R129" s="113">
        <v>4226659.790000001</v>
      </c>
      <c r="U129" s="65">
        <f t="shared" si="40"/>
        <v>2.7790005190846373E-2</v>
      </c>
      <c r="V129" s="113">
        <f>IFERROR(VLOOKUP($A129,[35]Residual!$A$2:$C$11,3,FALSE),0)</f>
        <v>5135674.8000000007</v>
      </c>
      <c r="Y129" s="65">
        <f t="shared" si="41"/>
        <v>2.5286456286136339E-2</v>
      </c>
      <c r="Z129" s="113">
        <f>IFERROR(VLOOKUP($A129,[40]Residual!$A$4:$B$13,2,FALSE),0)</f>
        <v>5399076.5600000015</v>
      </c>
      <c r="AC129" s="65">
        <f t="shared" si="42"/>
        <v>1.3101415356581011E-2</v>
      </c>
      <c r="AD129" s="113">
        <f>IFERROR(VLOOKUP($B129,'[37](904__RESIDUAL_BALLOON_PAYMENT'!$A$2:$C$11,3,FALSE),0)</f>
        <v>3052941.88</v>
      </c>
      <c r="AG129" s="65">
        <f t="shared" si="43"/>
        <v>1.3512295972014046E-2</v>
      </c>
      <c r="AH129" s="113">
        <f>IFERROR(VLOOKUP($B129,'[38](904__RESIDUAL_BALLOON_PAYMENT'!$A$1:$C$11,3,FALSE),0)</f>
        <v>3423859.65</v>
      </c>
      <c r="AK129" s="65">
        <f t="shared" si="44"/>
        <v>1.3442873681227872E-2</v>
      </c>
      <c r="AL129" s="113">
        <f>VLOOKUP(B129,'[39](904__RESIDUAL_BALLOON_PAYMENT'!$A$2:$C$11,3,0)</f>
        <v>3891458.76</v>
      </c>
      <c r="AO129" s="65">
        <v>1.3534691534416648E-2</v>
      </c>
      <c r="AP129" s="113">
        <v>4373140.2500000009</v>
      </c>
    </row>
    <row r="130" spans="1:42">
      <c r="A130" s="83" t="s">
        <v>88</v>
      </c>
      <c r="B130" s="1" t="s">
        <v>88</v>
      </c>
      <c r="E130" s="65">
        <f t="shared" si="39"/>
        <v>6.4189113193776001E-2</v>
      </c>
      <c r="F130" s="113">
        <f>IFERROR(VLOOKUP($A130,[34]Residual!$A$2:$C$11,3,FALSE),0)</f>
        <v>6352982.7299999995</v>
      </c>
      <c r="I130" s="65">
        <v>5.6464659147712669E-2</v>
      </c>
      <c r="J130" s="113">
        <v>6912127.6600000001</v>
      </c>
      <c r="M130" s="65">
        <v>5.939202027937978E-2</v>
      </c>
      <c r="N130" s="113">
        <v>8163469.4099999983</v>
      </c>
      <c r="Q130" s="65">
        <v>5.827770301207652E-2</v>
      </c>
      <c r="R130" s="113">
        <v>8999180.0000000019</v>
      </c>
      <c r="U130" s="65">
        <f t="shared" si="40"/>
        <v>5.2890160714628751E-2</v>
      </c>
      <c r="V130" s="113">
        <f>IFERROR(VLOOKUP($A130,[35]Residual!$A$2:$C$11,3,FALSE),0)</f>
        <v>9774257.4600000009</v>
      </c>
      <c r="Y130" s="65">
        <f t="shared" si="41"/>
        <v>4.9765243700171075E-2</v>
      </c>
      <c r="Z130" s="113">
        <f>IFERROR(VLOOKUP($A130,[40]Residual!$A$4:$B$13,2,FALSE),0)</f>
        <v>10625702.460000001</v>
      </c>
      <c r="AC130" s="65">
        <f t="shared" si="42"/>
        <v>1.9199087636627987E-2</v>
      </c>
      <c r="AD130" s="113">
        <f>IFERROR(VLOOKUP($B130,'[37](904__RESIDUAL_BALLOON_PAYMENT'!$A$2:$C$11,3,FALSE),0)</f>
        <v>4473844.78</v>
      </c>
      <c r="AG130" s="65">
        <f t="shared" si="43"/>
        <v>2.3548363524105123E-2</v>
      </c>
      <c r="AH130" s="113">
        <f>IFERROR(VLOOKUP($B130,'[38](904__RESIDUAL_BALLOON_PAYMENT'!$A$1:$C$11,3,FALSE),0)</f>
        <v>5966883.1900000004</v>
      </c>
      <c r="AK130" s="65">
        <f t="shared" si="44"/>
        <v>2.2664358375386644E-2</v>
      </c>
      <c r="AL130" s="113">
        <f>VLOOKUP(B130,'[39](904__RESIDUAL_BALLOON_PAYMENT'!$A$2:$C$11,3,0)</f>
        <v>6560904.9100000001</v>
      </c>
      <c r="AO130" s="65">
        <v>2.2392242940083722E-2</v>
      </c>
      <c r="AP130" s="113">
        <v>7235068.3900000006</v>
      </c>
    </row>
    <row r="131" spans="1:42">
      <c r="A131" s="83" t="s">
        <v>89</v>
      </c>
      <c r="B131" s="1" t="s">
        <v>89</v>
      </c>
      <c r="E131" s="65">
        <f t="shared" si="39"/>
        <v>2.8481033074249765E-2</v>
      </c>
      <c r="F131" s="113">
        <f>IFERROR(VLOOKUP($A131,[34]Residual!$A$2:$C$11,3,FALSE),0)</f>
        <v>2818850.46</v>
      </c>
      <c r="I131" s="65">
        <v>2.6819085448917434E-2</v>
      </c>
      <c r="J131" s="113">
        <v>3283061.3899999992</v>
      </c>
      <c r="M131" s="65">
        <v>2.5058553852590693E-2</v>
      </c>
      <c r="N131" s="113">
        <v>3444313.51</v>
      </c>
      <c r="Q131" s="65">
        <v>2.3609418868318761E-2</v>
      </c>
      <c r="R131" s="113">
        <v>3645740.9800000009</v>
      </c>
      <c r="U131" s="65">
        <f t="shared" si="40"/>
        <v>2.1234586497726183E-2</v>
      </c>
      <c r="V131" s="113">
        <f>IFERROR(VLOOKUP($A131,[35]Residual!$A$2:$C$11,3,FALSE),0)</f>
        <v>3924214.1199999996</v>
      </c>
      <c r="Y131" s="65">
        <f t="shared" si="41"/>
        <v>1.9674833031564556E-2</v>
      </c>
      <c r="Z131" s="113">
        <f>IFERROR(VLOOKUP($A131,[40]Residual!$A$4:$B$13,2,FALSE),0)</f>
        <v>4200902.1999999993</v>
      </c>
      <c r="AC131" s="65">
        <f t="shared" si="42"/>
        <v>5.5161333247722632E-3</v>
      </c>
      <c r="AD131" s="113">
        <f>IFERROR(VLOOKUP($B131,'[37](904__RESIDUAL_BALLOON_PAYMENT'!$A$2:$C$11,3,FALSE),0)</f>
        <v>1285390.47</v>
      </c>
      <c r="AG131" s="65">
        <f t="shared" si="43"/>
        <v>7.0650751959148413E-3</v>
      </c>
      <c r="AH131" s="113">
        <f>IFERROR(VLOOKUP($B131,'[38](904__RESIDUAL_BALLOON_PAYMENT'!$A$1:$C$11,3,FALSE),0)</f>
        <v>1790208.41</v>
      </c>
      <c r="AK131" s="65">
        <f t="shared" si="44"/>
        <v>7.6515881967966761E-3</v>
      </c>
      <c r="AL131" s="113">
        <f>VLOOKUP(B131,'[39](904__RESIDUAL_BALLOON_PAYMENT'!$A$2:$C$11,3,0)</f>
        <v>2214990.6800000002</v>
      </c>
      <c r="AO131" s="65">
        <v>8.0935071653554635E-3</v>
      </c>
      <c r="AP131" s="113">
        <v>2615060.8499999992</v>
      </c>
    </row>
    <row r="132" spans="1:42">
      <c r="A132" s="48" t="s">
        <v>90</v>
      </c>
      <c r="B132" s="1" t="s">
        <v>90</v>
      </c>
      <c r="E132" s="65">
        <f t="shared" si="39"/>
        <v>1.7613936103856802E-2</v>
      </c>
      <c r="F132" s="113">
        <f>IFERROR(VLOOKUP($A132,[34]Residual!$A$2:$C$11,3,FALSE),0)</f>
        <v>1743302.3500000003</v>
      </c>
      <c r="I132" s="65">
        <v>1.5164399120906488E-2</v>
      </c>
      <c r="J132" s="113">
        <v>1856351.6400000001</v>
      </c>
      <c r="M132" s="65">
        <v>1.5700745611293265E-2</v>
      </c>
      <c r="N132" s="113">
        <v>2158077.06</v>
      </c>
      <c r="Q132" s="65">
        <v>1.4525970003104667E-2</v>
      </c>
      <c r="R132" s="113">
        <v>2243084.61</v>
      </c>
      <c r="U132" s="65">
        <f t="shared" si="40"/>
        <v>1.3148318336563564E-2</v>
      </c>
      <c r="V132" s="113">
        <f>IFERROR(VLOOKUP($A132,[35]Residual!$A$2:$C$11,3,FALSE),0)</f>
        <v>2429847.9500000002</v>
      </c>
      <c r="Y132" s="65">
        <f t="shared" si="41"/>
        <v>1.2852157909284763E-2</v>
      </c>
      <c r="Z132" s="113">
        <f>IFERROR(VLOOKUP($A132,[40]Residual!$A$4:$B$13,2,FALSE),0)</f>
        <v>2744148.2400000007</v>
      </c>
      <c r="AC132" s="65">
        <f t="shared" si="42"/>
        <v>3.0506266865711266E-3</v>
      </c>
      <c r="AD132" s="113">
        <f>IFERROR(VLOOKUP($B132,'[37](904__RESIDUAL_BALLOON_PAYMENT'!$A$2:$C$11,3,FALSE),0)</f>
        <v>710868.69</v>
      </c>
      <c r="AG132" s="65">
        <f t="shared" si="43"/>
        <v>3.6971924825930395E-3</v>
      </c>
      <c r="AH132" s="113">
        <f>IFERROR(VLOOKUP($B132,'[38](904__RESIDUAL_BALLOON_PAYMENT'!$A$1:$C$11,3,FALSE),0)</f>
        <v>936825.85</v>
      </c>
      <c r="AK132" s="65">
        <f t="shared" si="44"/>
        <v>3.8354563849980492E-3</v>
      </c>
      <c r="AL132" s="113">
        <f>VLOOKUP(B132,'[39](904__RESIDUAL_BALLOON_PAYMENT'!$A$2:$C$11,3,0)</f>
        <v>1110292.3899999999</v>
      </c>
      <c r="AO132" s="65">
        <v>4.228659434679369E-3</v>
      </c>
      <c r="AP132" s="113">
        <v>1366305.3</v>
      </c>
    </row>
    <row r="133" spans="1:42" ht="13.5" thickBot="1">
      <c r="A133" s="48" t="s">
        <v>263</v>
      </c>
      <c r="B133" s="1" t="s">
        <v>91</v>
      </c>
      <c r="E133" s="65">
        <f t="shared" si="39"/>
        <v>5.745664274092151E-3</v>
      </c>
      <c r="F133" s="113">
        <f>IFERROR(VLOOKUP($A133,[34]Residual!$A$2:$C$11,3,FALSE),0)</f>
        <v>568665.05999999994</v>
      </c>
      <c r="I133" s="65">
        <v>4.6825397899869911E-3</v>
      </c>
      <c r="J133" s="113">
        <v>573213.6399999999</v>
      </c>
      <c r="M133" s="65">
        <v>4.2753495999056567E-3</v>
      </c>
      <c r="N133" s="113">
        <v>587649.40999999992</v>
      </c>
      <c r="Q133" s="65">
        <v>6.6730073965605647E-3</v>
      </c>
      <c r="R133" s="113">
        <v>1030438.6</v>
      </c>
      <c r="U133" s="65">
        <f t="shared" si="40"/>
        <v>6.4393643196172011E-3</v>
      </c>
      <c r="V133" s="113">
        <f>IFERROR(VLOOKUP($A133,[35]Residual!$A$2:$C$11,3,FALSE),0)</f>
        <v>1190013.49</v>
      </c>
      <c r="Y133" s="65">
        <f t="shared" si="41"/>
        <v>5.8275139336346187E-3</v>
      </c>
      <c r="Z133" s="113">
        <f>IFERROR(VLOOKUP($A133,[40]Residual!$A$4:$B$13,2,FALSE),0)</f>
        <v>1244270.5900000001</v>
      </c>
      <c r="AC133" s="65">
        <f t="shared" si="42"/>
        <v>2.2347005792394911E-3</v>
      </c>
      <c r="AD133" s="113">
        <f>IFERROR(VLOOKUP($B133,'[37](904__RESIDUAL_BALLOON_PAYMENT'!$A$2:$C$11,3,FALSE),0)</f>
        <v>520738.47</v>
      </c>
      <c r="AG133" s="65">
        <f t="shared" si="43"/>
        <v>7.7387672055655747E-3</v>
      </c>
      <c r="AH133" s="113">
        <f>IFERROR(VLOOKUP($B133,'[38](904__RESIDUAL_BALLOON_PAYMENT'!$A$1:$C$11,3,FALSE),0)</f>
        <v>1960914.18</v>
      </c>
      <c r="AK133" s="65">
        <f t="shared" si="44"/>
        <v>8.6502782085717596E-3</v>
      </c>
      <c r="AL133" s="113">
        <f>VLOOKUP(B133,'[39](904__RESIDUAL_BALLOON_PAYMENT'!$A$2:$C$11,3,0)</f>
        <v>2504092.63</v>
      </c>
      <c r="AO133" s="65">
        <v>8.3456409113779918E-3</v>
      </c>
      <c r="AP133" s="113">
        <v>2696526.7800000003</v>
      </c>
    </row>
    <row r="134" spans="1:42" ht="13.5" thickBot="1">
      <c r="A134" s="48"/>
      <c r="E134" s="134">
        <f>SUM(E124:E133)</f>
        <v>1</v>
      </c>
      <c r="F134" s="141">
        <f>SUM(F124:F133)</f>
        <v>98972900.760000005</v>
      </c>
      <c r="I134" s="134">
        <v>1.0000000000000002</v>
      </c>
      <c r="J134" s="141">
        <v>122415113.53000002</v>
      </c>
      <c r="M134" s="134">
        <v>1.0000000000000002</v>
      </c>
      <c r="N134" s="141">
        <v>137450609.88999999</v>
      </c>
      <c r="Q134" s="134">
        <v>1</v>
      </c>
      <c r="R134" s="120">
        <v>154418920.70000011</v>
      </c>
      <c r="U134" s="134">
        <f>SUM(U124:U133)</f>
        <v>0.99999999999999989</v>
      </c>
      <c r="V134" s="120">
        <f>SUM(V124:V133)</f>
        <v>184802944.97000015</v>
      </c>
      <c r="Y134" s="134">
        <f>SUM(Y124:Y133)</f>
        <v>0.99999999999999989</v>
      </c>
      <c r="Z134" s="120">
        <f>SUM(Z124:Z133)</f>
        <v>213516536.23999983</v>
      </c>
      <c r="AC134" s="134">
        <f>SUM(AC124:AC133)</f>
        <v>1.0000000000000002</v>
      </c>
      <c r="AD134" s="120">
        <f>SUM(AD124:AD133)</f>
        <v>233023821.99999997</v>
      </c>
      <c r="AG134" s="134">
        <f>SUM(AG124:AG133)</f>
        <v>0.99999999999999989</v>
      </c>
      <c r="AH134" s="120">
        <f>SUM(AH124:AH133)</f>
        <v>253388443.91</v>
      </c>
      <c r="AK134" s="134">
        <f>SUM(AK124:AK133)</f>
        <v>1</v>
      </c>
      <c r="AL134" s="120">
        <f>SUM(AL124:AL133)</f>
        <v>289481166.91999996</v>
      </c>
      <c r="AO134" s="134">
        <v>1</v>
      </c>
      <c r="AP134" s="120">
        <v>323106015.29999965</v>
      </c>
    </row>
    <row r="135" spans="1:42">
      <c r="A135" s="72" t="s">
        <v>99</v>
      </c>
      <c r="E135" s="65"/>
      <c r="I135" s="65"/>
      <c r="M135" s="65"/>
      <c r="Q135" s="65"/>
      <c r="U135" s="65"/>
      <c r="Y135" s="65"/>
      <c r="AC135" s="65"/>
      <c r="AG135" s="65"/>
      <c r="AK135" s="65"/>
      <c r="AO135" s="65"/>
    </row>
    <row r="136" spans="1:42">
      <c r="A136" s="72" t="s">
        <v>100</v>
      </c>
      <c r="B136" s="70" t="s">
        <v>98</v>
      </c>
      <c r="C136" s="55"/>
      <c r="D136" s="55"/>
      <c r="E136" s="65"/>
      <c r="H136" s="55"/>
      <c r="I136" s="65"/>
      <c r="L136" s="55"/>
      <c r="M136" s="65"/>
      <c r="P136" s="55"/>
      <c r="Q136" s="65"/>
      <c r="T136" s="55"/>
      <c r="U136" s="65"/>
      <c r="X136" s="55"/>
      <c r="Y136" s="65"/>
      <c r="AB136" s="55"/>
      <c r="AC136" s="65"/>
      <c r="AF136" s="55"/>
      <c r="AG136" s="65"/>
      <c r="AK136" s="65"/>
      <c r="AO136" s="65"/>
    </row>
    <row r="137" spans="1:42">
      <c r="A137" s="107" t="s">
        <v>137</v>
      </c>
      <c r="B137" s="1" t="s">
        <v>137</v>
      </c>
      <c r="E137" s="77">
        <f t="shared" ref="E137:E164" si="45">F137/F$166</f>
        <v>0</v>
      </c>
      <c r="F137" s="113">
        <f>IFERROR(VLOOKUP($A137,'[34]Maturity Quarter'!$A$2:$C$12,3,FALSE),0)</f>
        <v>0</v>
      </c>
      <c r="I137" s="77">
        <v>0</v>
      </c>
      <c r="J137" s="113">
        <v>0</v>
      </c>
      <c r="M137" s="77">
        <v>0</v>
      </c>
      <c r="N137" s="113">
        <v>0</v>
      </c>
      <c r="Q137" s="77">
        <v>0</v>
      </c>
      <c r="R137" s="113">
        <v>0</v>
      </c>
      <c r="U137" s="77">
        <f t="shared" ref="U137:U164" si="46">V137/V$166</f>
        <v>0</v>
      </c>
      <c r="V137" s="113">
        <f>IFERROR(VLOOKUP($A137,'[35]Maturity Quarter'!$A$2:$C$18,3,FALSE),0)</f>
        <v>0</v>
      </c>
      <c r="Y137" s="77">
        <f t="shared" ref="Y137:Y164" si="47">Z137/Z$166</f>
        <v>0</v>
      </c>
      <c r="Z137" s="113">
        <f>IFERROR(VLOOKUP($B137,'[37](906__MATURITY_QUARTER_AND_YEAR'!$A$2:$D$21,4,FALSE),0)</f>
        <v>0</v>
      </c>
      <c r="AC137" s="77">
        <f t="shared" ref="AC137:AC164" si="48">AD137/AD$166</f>
        <v>0</v>
      </c>
      <c r="AD137" s="113">
        <f>IFERROR(VLOOKUP($B137,'[37](906__MATURITY_QUARTER_AND_YEAR'!$A$2:$D$21,4,FALSE),0)</f>
        <v>0</v>
      </c>
      <c r="AG137" s="77">
        <f t="shared" ref="AG137:AG164" si="49">AH137/AH$166</f>
        <v>0</v>
      </c>
      <c r="AH137" s="113">
        <f>IFERROR(VLOOKUP($B137,'[38](906__MATURITY_QUARTER_AND_YEAR'!$A$1:$D$21,4,FALSE),0)</f>
        <v>0</v>
      </c>
      <c r="AK137" s="77">
        <f>AL137/$AL$166</f>
        <v>0</v>
      </c>
      <c r="AL137" s="113">
        <v>0</v>
      </c>
      <c r="AO137" s="77">
        <v>0</v>
      </c>
      <c r="AP137" s="113">
        <v>0</v>
      </c>
    </row>
    <row r="138" spans="1:42">
      <c r="A138" s="107" t="s">
        <v>138</v>
      </c>
      <c r="B138" s="1" t="s">
        <v>138</v>
      </c>
      <c r="E138" s="77">
        <f t="shared" si="45"/>
        <v>0</v>
      </c>
      <c r="F138" s="113">
        <f>IFERROR(VLOOKUP($A138,'[34]Maturity Quarter'!$A$2:$C$12,3,FALSE),0)</f>
        <v>0</v>
      </c>
      <c r="I138" s="77">
        <v>0</v>
      </c>
      <c r="J138" s="113">
        <v>0</v>
      </c>
      <c r="M138" s="77">
        <v>0</v>
      </c>
      <c r="N138" s="113">
        <v>0</v>
      </c>
      <c r="Q138" s="77">
        <v>0</v>
      </c>
      <c r="R138" s="113">
        <v>0</v>
      </c>
      <c r="U138" s="77">
        <f t="shared" si="46"/>
        <v>0</v>
      </c>
      <c r="V138" s="113">
        <f>IFERROR(VLOOKUP($A138,'[35]Maturity Quarter'!$A$2:$C$18,3,FALSE),0)</f>
        <v>0</v>
      </c>
      <c r="Y138" s="77">
        <f t="shared" si="47"/>
        <v>0</v>
      </c>
      <c r="Z138" s="113">
        <f>IFERROR(VLOOKUP($B138,'[37](906__MATURITY_QUARTER_AND_YEAR'!$A$2:$D$21,4,FALSE),0)</f>
        <v>0</v>
      </c>
      <c r="AC138" s="77">
        <f t="shared" si="48"/>
        <v>0</v>
      </c>
      <c r="AD138" s="113">
        <f>IFERROR(VLOOKUP($B138,'[37](906__MATURITY_QUARTER_AND_YEAR'!$A$2:$D$21,4,FALSE),0)</f>
        <v>0</v>
      </c>
      <c r="AG138" s="77">
        <f t="shared" si="49"/>
        <v>0</v>
      </c>
      <c r="AH138" s="113">
        <f>IFERROR(VLOOKUP($B138,'[38](906__MATURITY_QUARTER_AND_YEAR'!$A$1:$D$21,4,FALSE),0)</f>
        <v>0</v>
      </c>
      <c r="AK138" s="77">
        <f t="shared" ref="AK138:AK164" si="50">AL138/$AL$166</f>
        <v>0</v>
      </c>
      <c r="AL138" s="113">
        <v>0</v>
      </c>
      <c r="AO138" s="77">
        <v>0</v>
      </c>
      <c r="AP138" s="113">
        <v>0</v>
      </c>
    </row>
    <row r="139" spans="1:42">
      <c r="A139" s="107" t="s">
        <v>139</v>
      </c>
      <c r="B139" s="1" t="s">
        <v>139</v>
      </c>
      <c r="E139" s="77">
        <f t="shared" si="45"/>
        <v>0</v>
      </c>
      <c r="F139" s="113">
        <f>IFERROR(VLOOKUP($A139,'[34]Maturity Quarter'!$A$2:$C$12,3,FALSE),0)</f>
        <v>0</v>
      </c>
      <c r="I139" s="77">
        <v>0</v>
      </c>
      <c r="J139" s="113">
        <v>0</v>
      </c>
      <c r="M139" s="77">
        <v>0</v>
      </c>
      <c r="N139" s="113">
        <v>0</v>
      </c>
      <c r="Q139" s="77">
        <v>0</v>
      </c>
      <c r="R139" s="113">
        <v>0</v>
      </c>
      <c r="U139" s="77">
        <f t="shared" si="46"/>
        <v>0</v>
      </c>
      <c r="V139" s="113">
        <f>IFERROR(VLOOKUP($A139,'[35]Maturity Quarter'!$A$2:$C$18,3,FALSE),0)</f>
        <v>0</v>
      </c>
      <c r="Y139" s="77">
        <f t="shared" si="47"/>
        <v>0</v>
      </c>
      <c r="Z139" s="113">
        <f>IFERROR(VLOOKUP($B139,'[37](906__MATURITY_QUARTER_AND_YEAR'!$A$2:$D$21,4,FALSE),0)</f>
        <v>0</v>
      </c>
      <c r="AC139" s="77">
        <f t="shared" si="48"/>
        <v>0</v>
      </c>
      <c r="AD139" s="113">
        <f>IFERROR(VLOOKUP($B139,'[37](906__MATURITY_QUARTER_AND_YEAR'!$A$2:$D$21,4,FALSE),0)</f>
        <v>0</v>
      </c>
      <c r="AG139" s="77">
        <f t="shared" si="49"/>
        <v>0</v>
      </c>
      <c r="AH139" s="113">
        <f>IFERROR(VLOOKUP($B139,'[38](906__MATURITY_QUARTER_AND_YEAR'!$A$1:$D$21,4,FALSE),0)</f>
        <v>0</v>
      </c>
      <c r="AK139" s="77">
        <f t="shared" si="50"/>
        <v>0</v>
      </c>
      <c r="AL139" s="113">
        <v>0</v>
      </c>
      <c r="AO139" s="77">
        <v>0</v>
      </c>
      <c r="AP139" s="113">
        <v>0</v>
      </c>
    </row>
    <row r="140" spans="1:42">
      <c r="A140" s="107" t="s">
        <v>140</v>
      </c>
      <c r="B140" s="1" t="s">
        <v>140</v>
      </c>
      <c r="E140" s="77">
        <f t="shared" si="45"/>
        <v>0</v>
      </c>
      <c r="F140" s="113">
        <f>IFERROR(VLOOKUP($A140,'[34]Maturity Quarter'!$A$2:$C$12,3,FALSE),0)</f>
        <v>0</v>
      </c>
      <c r="I140" s="77">
        <v>0</v>
      </c>
      <c r="J140" s="113">
        <v>0</v>
      </c>
      <c r="M140" s="77">
        <v>0</v>
      </c>
      <c r="N140" s="113">
        <v>0</v>
      </c>
      <c r="Q140" s="77">
        <v>0</v>
      </c>
      <c r="R140" s="113">
        <v>0</v>
      </c>
      <c r="U140" s="77">
        <f t="shared" si="46"/>
        <v>0</v>
      </c>
      <c r="V140" s="113">
        <f>IFERROR(VLOOKUP($A140,'[35]Maturity Quarter'!$A$2:$C$18,3,FALSE),0)</f>
        <v>0</v>
      </c>
      <c r="Y140" s="77">
        <f t="shared" si="47"/>
        <v>0</v>
      </c>
      <c r="Z140" s="113">
        <f>IFERROR(VLOOKUP($B140,'[37](906__MATURITY_QUARTER_AND_YEAR'!$A$2:$D$21,4,FALSE),0)</f>
        <v>0</v>
      </c>
      <c r="AC140" s="77">
        <f t="shared" si="48"/>
        <v>0</v>
      </c>
      <c r="AD140" s="113">
        <f>IFERROR(VLOOKUP($B140,'[37](906__MATURITY_QUARTER_AND_YEAR'!$A$2:$D$21,4,FALSE),0)</f>
        <v>0</v>
      </c>
      <c r="AG140" s="77">
        <f t="shared" si="49"/>
        <v>0</v>
      </c>
      <c r="AH140" s="113">
        <f>IFERROR(VLOOKUP($B140,'[38](906__MATURITY_QUARTER_AND_YEAR'!$A$1:$D$21,4,FALSE),0)</f>
        <v>0</v>
      </c>
      <c r="AK140" s="77">
        <f t="shared" si="50"/>
        <v>0</v>
      </c>
      <c r="AL140" s="113">
        <v>0</v>
      </c>
      <c r="AO140" s="77">
        <v>0</v>
      </c>
      <c r="AP140" s="113">
        <v>0</v>
      </c>
    </row>
    <row r="141" spans="1:42">
      <c r="A141" s="107" t="s">
        <v>141</v>
      </c>
      <c r="B141" s="1" t="s">
        <v>141</v>
      </c>
      <c r="E141" s="77">
        <f t="shared" si="45"/>
        <v>0</v>
      </c>
      <c r="F141" s="113">
        <f>IFERROR(VLOOKUP($A141,'[34]Maturity Quarter'!$A$2:$C$12,3,FALSE),0)</f>
        <v>0</v>
      </c>
      <c r="I141" s="77">
        <v>0</v>
      </c>
      <c r="J141" s="113">
        <v>0</v>
      </c>
      <c r="M141" s="77">
        <v>0</v>
      </c>
      <c r="N141" s="113">
        <v>0</v>
      </c>
      <c r="Q141" s="77">
        <v>0</v>
      </c>
      <c r="R141" s="113">
        <v>0</v>
      </c>
      <c r="U141" s="77">
        <f t="shared" si="46"/>
        <v>0</v>
      </c>
      <c r="V141" s="113">
        <f>IFERROR(VLOOKUP($A141,'[35]Maturity Quarter'!$A$2:$C$18,3,FALSE),0)</f>
        <v>0</v>
      </c>
      <c r="Y141" s="77">
        <f t="shared" si="47"/>
        <v>0</v>
      </c>
      <c r="Z141" s="113">
        <f>IFERROR(VLOOKUP($B141,'[37](906__MATURITY_QUARTER_AND_YEAR'!$A$2:$D$21,4,FALSE),0)</f>
        <v>0</v>
      </c>
      <c r="AC141" s="77">
        <f t="shared" si="48"/>
        <v>0</v>
      </c>
      <c r="AD141" s="113">
        <f>IFERROR(VLOOKUP($B141,'[37](906__MATURITY_QUARTER_AND_YEAR'!$A$2:$D$21,4,FALSE),0)</f>
        <v>0</v>
      </c>
      <c r="AG141" s="77">
        <f t="shared" si="49"/>
        <v>0</v>
      </c>
      <c r="AH141" s="113">
        <f>IFERROR(VLOOKUP($B141,'[38](906__MATURITY_QUARTER_AND_YEAR'!$A$1:$D$21,4,FALSE),0)</f>
        <v>0</v>
      </c>
      <c r="AK141" s="77">
        <f t="shared" si="50"/>
        <v>0</v>
      </c>
      <c r="AL141" s="113">
        <v>0</v>
      </c>
      <c r="AO141" s="77">
        <v>0</v>
      </c>
      <c r="AP141" s="113">
        <v>0</v>
      </c>
    </row>
    <row r="142" spans="1:42">
      <c r="A142" s="107" t="s">
        <v>142</v>
      </c>
      <c r="B142" s="1" t="s">
        <v>142</v>
      </c>
      <c r="E142" s="77">
        <f t="shared" si="45"/>
        <v>0</v>
      </c>
      <c r="F142" s="113">
        <f>IFERROR(VLOOKUP($A142,'[34]Maturity Quarter'!$A$2:$C$12,3,FALSE),0)</f>
        <v>0</v>
      </c>
      <c r="I142" s="77">
        <v>0</v>
      </c>
      <c r="J142" s="113">
        <v>0</v>
      </c>
      <c r="M142" s="77">
        <v>0</v>
      </c>
      <c r="N142" s="113">
        <v>0</v>
      </c>
      <c r="Q142" s="77">
        <v>0</v>
      </c>
      <c r="R142" s="113">
        <v>0</v>
      </c>
      <c r="U142" s="77">
        <f t="shared" si="46"/>
        <v>0</v>
      </c>
      <c r="V142" s="113">
        <f>IFERROR(VLOOKUP($A142,'[35]Maturity Quarter'!$A$2:$C$18,3,FALSE),0)</f>
        <v>0</v>
      </c>
      <c r="Y142" s="77">
        <f t="shared" si="47"/>
        <v>0</v>
      </c>
      <c r="Z142" s="113">
        <f>IFERROR(VLOOKUP($B142,'[37](906__MATURITY_QUARTER_AND_YEAR'!$A$2:$D$21,4,FALSE),0)</f>
        <v>0</v>
      </c>
      <c r="AC142" s="77">
        <f t="shared" si="48"/>
        <v>0</v>
      </c>
      <c r="AD142" s="113">
        <f>IFERROR(VLOOKUP($B142,'[37](906__MATURITY_QUARTER_AND_YEAR'!$A$2:$D$21,4,FALSE),0)</f>
        <v>0</v>
      </c>
      <c r="AG142" s="77">
        <f t="shared" si="49"/>
        <v>0</v>
      </c>
      <c r="AH142" s="113">
        <f>IFERROR(VLOOKUP($B142,'[38](906__MATURITY_QUARTER_AND_YEAR'!$A$1:$D$21,4,FALSE),0)</f>
        <v>0</v>
      </c>
      <c r="AK142" s="77">
        <f t="shared" si="50"/>
        <v>0</v>
      </c>
      <c r="AL142" s="113">
        <v>0</v>
      </c>
      <c r="AO142" s="77">
        <v>0</v>
      </c>
      <c r="AP142" s="113">
        <v>0</v>
      </c>
    </row>
    <row r="143" spans="1:42">
      <c r="A143" s="107" t="s">
        <v>143</v>
      </c>
      <c r="B143" s="1" t="s">
        <v>143</v>
      </c>
      <c r="E143" s="77">
        <f t="shared" si="45"/>
        <v>0</v>
      </c>
      <c r="F143" s="113">
        <f>IFERROR(VLOOKUP($A143,'[34]Maturity Quarter'!$A$2:$C$12,3,FALSE),0)</f>
        <v>0</v>
      </c>
      <c r="I143" s="77">
        <v>0</v>
      </c>
      <c r="J143" s="113">
        <v>0</v>
      </c>
      <c r="M143" s="77">
        <v>0</v>
      </c>
      <c r="N143" s="113">
        <v>0</v>
      </c>
      <c r="Q143" s="77">
        <v>0</v>
      </c>
      <c r="R143" s="113">
        <v>0</v>
      </c>
      <c r="U143" s="77">
        <f t="shared" si="46"/>
        <v>0</v>
      </c>
      <c r="V143" s="113">
        <f>IFERROR(VLOOKUP($A143,'[35]Maturity Quarter'!$A$2:$C$18,3,FALSE),0)</f>
        <v>0</v>
      </c>
      <c r="Y143" s="77">
        <f t="shared" si="47"/>
        <v>0</v>
      </c>
      <c r="Z143" s="113">
        <f>IFERROR(VLOOKUP($B143,'[37](906__MATURITY_QUARTER_AND_YEAR'!$A$2:$D$21,4,FALSE),0)</f>
        <v>0</v>
      </c>
      <c r="AC143" s="77">
        <f t="shared" si="48"/>
        <v>0</v>
      </c>
      <c r="AD143" s="113">
        <f>IFERROR(VLOOKUP($B143,'[37](906__MATURITY_QUARTER_AND_YEAR'!$A$2:$D$21,4,FALSE),0)</f>
        <v>0</v>
      </c>
      <c r="AG143" s="77">
        <f t="shared" si="49"/>
        <v>0</v>
      </c>
      <c r="AH143" s="113">
        <f>IFERROR(VLOOKUP($B143,'[38](906__MATURITY_QUARTER_AND_YEAR'!$A$1:$D$21,4,FALSE),0)</f>
        <v>0</v>
      </c>
      <c r="AK143" s="77">
        <f t="shared" si="50"/>
        <v>0</v>
      </c>
      <c r="AL143" s="113">
        <v>0</v>
      </c>
      <c r="AO143" s="77">
        <v>0</v>
      </c>
      <c r="AP143" s="113">
        <v>0</v>
      </c>
    </row>
    <row r="144" spans="1:42">
      <c r="A144" s="107" t="s">
        <v>146</v>
      </c>
      <c r="B144" s="1" t="s">
        <v>146</v>
      </c>
      <c r="E144" s="77">
        <f t="shared" si="45"/>
        <v>0</v>
      </c>
      <c r="F144" s="113">
        <f>IFERROR(VLOOKUP($A144,'[34]Maturity Quarter'!$A$2:$C$12,3,FALSE),0)</f>
        <v>0</v>
      </c>
      <c r="I144" s="77">
        <v>0</v>
      </c>
      <c r="J144" s="113">
        <v>0</v>
      </c>
      <c r="M144" s="77">
        <v>0</v>
      </c>
      <c r="N144" s="113">
        <v>0</v>
      </c>
      <c r="Q144" s="77">
        <v>0</v>
      </c>
      <c r="R144" s="113">
        <v>0</v>
      </c>
      <c r="U144" s="77">
        <f t="shared" si="46"/>
        <v>0</v>
      </c>
      <c r="V144" s="113">
        <f>IFERROR(VLOOKUP($A144,'[35]Maturity Quarter'!$A$2:$C$18,3,FALSE),0)</f>
        <v>0</v>
      </c>
      <c r="Y144" s="77">
        <f t="shared" si="47"/>
        <v>0</v>
      </c>
      <c r="Z144" s="113">
        <f>IFERROR(VLOOKUP($B144,'[37](906__MATURITY_QUARTER_AND_YEAR'!$A$2:$D$21,4,FALSE),0)</f>
        <v>0</v>
      </c>
      <c r="AC144" s="77">
        <f t="shared" si="48"/>
        <v>0</v>
      </c>
      <c r="AD144" s="113">
        <f>IFERROR(VLOOKUP($B144,'[37](906__MATURITY_QUARTER_AND_YEAR'!$A$2:$D$21,4,FALSE),0)</f>
        <v>0</v>
      </c>
      <c r="AG144" s="77">
        <f t="shared" si="49"/>
        <v>0</v>
      </c>
      <c r="AH144" s="113">
        <f>IFERROR(VLOOKUP($B144,'[38](906__MATURITY_QUARTER_AND_YEAR'!$A$1:$D$21,4,FALSE),0)</f>
        <v>0</v>
      </c>
      <c r="AK144" s="77">
        <f t="shared" si="50"/>
        <v>0</v>
      </c>
      <c r="AL144" s="113">
        <f>VLOOKUP(B144,'[39](906__MATURITY_QUARTER_AND_YEAR'!$A$2:$D$21,4,0)</f>
        <v>0</v>
      </c>
      <c r="AO144" s="77">
        <v>7.4932213742663796E-4</v>
      </c>
      <c r="AP144" s="113">
        <v>242110.49</v>
      </c>
    </row>
    <row r="145" spans="1:42">
      <c r="A145" s="107" t="s">
        <v>144</v>
      </c>
      <c r="B145" s="1" t="s">
        <v>144</v>
      </c>
      <c r="E145" s="77">
        <f t="shared" si="45"/>
        <v>0</v>
      </c>
      <c r="F145" s="113">
        <f>IFERROR(VLOOKUP($A145,'[34]Maturity Quarter'!$A$2:$C$12,3,FALSE),0)</f>
        <v>0</v>
      </c>
      <c r="I145" s="77">
        <v>0</v>
      </c>
      <c r="J145" s="113">
        <v>0</v>
      </c>
      <c r="M145" s="77">
        <v>0</v>
      </c>
      <c r="N145" s="113">
        <v>0</v>
      </c>
      <c r="Q145" s="77">
        <v>0</v>
      </c>
      <c r="R145" s="113">
        <v>0</v>
      </c>
      <c r="U145" s="77">
        <f t="shared" si="46"/>
        <v>0</v>
      </c>
      <c r="V145" s="113">
        <f>IFERROR(VLOOKUP($A145,'[35]Maturity Quarter'!$A$2:$C$18,3,FALSE),0)</f>
        <v>0</v>
      </c>
      <c r="Y145" s="77">
        <f t="shared" si="47"/>
        <v>0</v>
      </c>
      <c r="Z145" s="113">
        <f>IFERROR(VLOOKUP($B145,'[37](906__MATURITY_QUARTER_AND_YEAR'!$A$2:$D$21,4,FALSE),0)</f>
        <v>0</v>
      </c>
      <c r="AC145" s="77">
        <f t="shared" si="48"/>
        <v>0</v>
      </c>
      <c r="AD145" s="113">
        <f>IFERROR(VLOOKUP($B145,'[37](906__MATURITY_QUARTER_AND_YEAR'!$A$2:$D$21,4,FALSE),0)</f>
        <v>0</v>
      </c>
      <c r="AG145" s="77">
        <f t="shared" si="49"/>
        <v>1.6826935491637591E-4</v>
      </c>
      <c r="AH145" s="113">
        <f>IFERROR(VLOOKUP($B145,'[38](906__MATURITY_QUARTER_AND_YEAR'!$A$1:$D$21,4,FALSE),0)</f>
        <v>42637.51</v>
      </c>
      <c r="AK145" s="77">
        <f t="shared" si="50"/>
        <v>5.1134617002876635E-3</v>
      </c>
      <c r="AL145" s="113">
        <f>VLOOKUP(B145,'[39](906__MATURITY_QUARTER_AND_YEAR'!$A$2:$D$21,4,0)</f>
        <v>1480250.86</v>
      </c>
      <c r="AO145" s="77">
        <v>1.0991336656801635E-2</v>
      </c>
      <c r="AP145" s="113">
        <v>3551366.99</v>
      </c>
    </row>
    <row r="146" spans="1:42">
      <c r="A146" s="107" t="s">
        <v>280</v>
      </c>
      <c r="B146" s="1" t="s">
        <v>145</v>
      </c>
      <c r="E146" s="77">
        <f t="shared" si="45"/>
        <v>0</v>
      </c>
      <c r="F146" s="113">
        <f>IFERROR(VLOOKUP($A146,'[34]Maturity Quarter'!$A$2:$C$12,3,FALSE),0)</f>
        <v>0</v>
      </c>
      <c r="I146" s="77">
        <v>0</v>
      </c>
      <c r="J146" s="113">
        <v>0</v>
      </c>
      <c r="M146" s="77">
        <v>0</v>
      </c>
      <c r="N146" s="113">
        <v>0</v>
      </c>
      <c r="Q146" s="77">
        <v>7.6776278102816693E-5</v>
      </c>
      <c r="R146" s="113">
        <v>11855.71</v>
      </c>
      <c r="U146" s="77">
        <f t="shared" si="46"/>
        <v>6.4153252546514321E-5</v>
      </c>
      <c r="V146" s="113">
        <f>IFERROR(VLOOKUP($A146,'[35]Maturity Quarter'!$A$2:$C$18,3,FALSE),0)</f>
        <v>11855.71</v>
      </c>
      <c r="Y146" s="77">
        <f t="shared" si="47"/>
        <v>5.5525956952925499E-5</v>
      </c>
      <c r="Z146" s="113">
        <f>IFERROR(VLOOKUP($A146,[29]Maturity!$A$5:$B$21,2,FALSE),0)</f>
        <v>11855.71</v>
      </c>
      <c r="AC146" s="77">
        <f t="shared" si="48"/>
        <v>8.1082783029796839E-5</v>
      </c>
      <c r="AD146" s="113">
        <f>IFERROR(VLOOKUP($B146,'[37](906__MATURITY_QUARTER_AND_YEAR'!$A$2:$D$21,4,FALSE),0)</f>
        <v>18894.22</v>
      </c>
      <c r="AG146" s="77">
        <f t="shared" si="49"/>
        <v>9.6842578617025755E-3</v>
      </c>
      <c r="AH146" s="113">
        <f>IFERROR(VLOOKUP($B146,'[38](906__MATURITY_QUARTER_AND_YEAR'!$A$1:$D$21,4,FALSE),0)</f>
        <v>2453879.0299999998</v>
      </c>
      <c r="AK146" s="77">
        <f t="shared" si="50"/>
        <v>1.3780959405564635E-2</v>
      </c>
      <c r="AL146" s="113">
        <f>VLOOKUP(B146,'[39](906__MATURITY_QUARTER_AND_YEAR'!$A$2:$D$21,4,0)</f>
        <v>3989328.21</v>
      </c>
      <c r="AO146" s="77">
        <v>1.3832266217174314E-2</v>
      </c>
      <c r="AP146" s="113">
        <v>4469288.4199999971</v>
      </c>
    </row>
    <row r="147" spans="1:42">
      <c r="A147" s="107" t="s">
        <v>165</v>
      </c>
      <c r="B147" s="1" t="s">
        <v>165</v>
      </c>
      <c r="E147" s="77">
        <f t="shared" si="45"/>
        <v>0</v>
      </c>
      <c r="F147" s="113">
        <f>IFERROR(VLOOKUP($A147,'[34]Maturity Quarter'!$A$2:$C$12,3,FALSE),0)</f>
        <v>0</v>
      </c>
      <c r="I147" s="77">
        <v>0</v>
      </c>
      <c r="J147" s="113">
        <v>0</v>
      </c>
      <c r="M147" s="77">
        <v>0</v>
      </c>
      <c r="N147" s="113">
        <v>0</v>
      </c>
      <c r="Q147" s="77">
        <v>0</v>
      </c>
      <c r="R147" s="113">
        <v>0</v>
      </c>
      <c r="U147" s="77">
        <f t="shared" si="46"/>
        <v>0</v>
      </c>
      <c r="V147" s="113">
        <f>IFERROR(VLOOKUP($A147,'[35]Maturity Quarter'!$A$2:$C$18,3,FALSE),0)</f>
        <v>0</v>
      </c>
      <c r="Y147" s="77">
        <f t="shared" si="47"/>
        <v>0</v>
      </c>
      <c r="Z147" s="113">
        <f>IFERROR(VLOOKUP($A147,[29]Maturity!$A$5:$B$21,2,FALSE),0)</f>
        <v>0</v>
      </c>
      <c r="AC147" s="77">
        <f t="shared" si="48"/>
        <v>4.2790711329076039E-3</v>
      </c>
      <c r="AD147" s="113">
        <f>IFERROR(VLOOKUP($B147,'[37](906__MATURITY_QUARTER_AND_YEAR'!$A$2:$D$21,4,FALSE),0)</f>
        <v>997125.51</v>
      </c>
      <c r="AG147" s="77">
        <f t="shared" si="49"/>
        <v>8.7329031105536966E-3</v>
      </c>
      <c r="AH147" s="113">
        <f>IFERROR(VLOOKUP($B147,'[38](906__MATURITY_QUARTER_AND_YEAR'!$A$1:$D$21,4,FALSE),0)</f>
        <v>2212816.73</v>
      </c>
      <c r="AK147" s="77">
        <f t="shared" si="50"/>
        <v>9.0235519215033557E-3</v>
      </c>
      <c r="AL147" s="113">
        <f>VLOOKUP(B147,'[39](906__MATURITY_QUARTER_AND_YEAR'!$A$2:$D$21,4,0)</f>
        <v>2612148.34</v>
      </c>
      <c r="AO147" s="77">
        <v>8.8620839427621736E-3</v>
      </c>
      <c r="AP147" s="113">
        <v>2863392.6299999994</v>
      </c>
    </row>
    <row r="148" spans="1:42">
      <c r="A148" s="107" t="s">
        <v>264</v>
      </c>
      <c r="B148" s="1" t="s">
        <v>166</v>
      </c>
      <c r="E148" s="77">
        <f t="shared" si="45"/>
        <v>0</v>
      </c>
      <c r="F148" s="113">
        <f>IFERROR(VLOOKUP($A148,'[34]Maturity Quarter'!$A$2:$C$12,3,FALSE),0)</f>
        <v>0</v>
      </c>
      <c r="I148" s="77">
        <v>0</v>
      </c>
      <c r="J148" s="113">
        <v>0</v>
      </c>
      <c r="M148" s="77">
        <v>0</v>
      </c>
      <c r="N148" s="113">
        <v>0</v>
      </c>
      <c r="Q148" s="77">
        <v>0</v>
      </c>
      <c r="R148" s="113">
        <v>0</v>
      </c>
      <c r="U148" s="77">
        <f t="shared" si="46"/>
        <v>8.9634989327085928E-5</v>
      </c>
      <c r="V148" s="113">
        <f>IFERROR(VLOOKUP($A148,'[35]Maturity Quarter'!$A$2:$C$18,3,FALSE),0)</f>
        <v>16564.809999999998</v>
      </c>
      <c r="Y148" s="77">
        <f t="shared" si="47"/>
        <v>8.2399613209461629E-4</v>
      </c>
      <c r="Z148" s="113">
        <f>IFERROR(VLOOKUP($A148,[29]Maturity!$A$5:$B$21,2,FALSE),0)</f>
        <v>175936.8</v>
      </c>
      <c r="AC148" s="77">
        <f t="shared" si="48"/>
        <v>3.9491035813497208E-3</v>
      </c>
      <c r="AD148" s="113">
        <f>IFERROR(VLOOKUP($B148,'[37](906__MATURITY_QUARTER_AND_YEAR'!$A$2:$D$21,4,FALSE),0)</f>
        <v>920235.21</v>
      </c>
      <c r="AG148" s="77">
        <f t="shared" si="49"/>
        <v>4.6917191709905069E-3</v>
      </c>
      <c r="AH148" s="113">
        <f>IFERROR(VLOOKUP($B148,'[38](906__MATURITY_QUARTER_AND_YEAR'!$A$1:$D$21,4,FALSE),0)</f>
        <v>1188827.42</v>
      </c>
      <c r="AK148" s="77">
        <f t="shared" si="50"/>
        <v>5.2420528635611181E-3</v>
      </c>
      <c r="AL148" s="113">
        <f>VLOOKUP(B148,'[39](906__MATURITY_QUARTER_AND_YEAR'!$A$2:$D$21,4,0)</f>
        <v>1517475.58</v>
      </c>
      <c r="AO148" s="77">
        <v>5.5527124691076577E-3</v>
      </c>
      <c r="AP148" s="113">
        <v>1794114.7999999998</v>
      </c>
    </row>
    <row r="149" spans="1:42">
      <c r="A149" s="107" t="s">
        <v>265</v>
      </c>
      <c r="B149" s="1" t="s">
        <v>167</v>
      </c>
      <c r="E149" s="77">
        <f t="shared" si="45"/>
        <v>0</v>
      </c>
      <c r="F149" s="113">
        <f>IFERROR(VLOOKUP($A149,'[34]Maturity Quarter'!$A$2:$C$12,3,FALSE),0)</f>
        <v>0</v>
      </c>
      <c r="I149" s="77">
        <v>0</v>
      </c>
      <c r="J149" s="113">
        <v>0</v>
      </c>
      <c r="M149" s="77">
        <v>7.4156891760300382E-5</v>
      </c>
      <c r="N149" s="113">
        <v>10192.910000000003</v>
      </c>
      <c r="Q149" s="77">
        <v>1.22366714612065E-3</v>
      </c>
      <c r="R149" s="113">
        <v>188957.36</v>
      </c>
      <c r="U149" s="77">
        <f t="shared" si="46"/>
        <v>8.5971607771614007E-3</v>
      </c>
      <c r="V149" s="113">
        <f>IFERROR(VLOOKUP($A149,'[35]Maturity Quarter'!$A$2:$C$18,3,FALSE),0)</f>
        <v>1588780.6300000008</v>
      </c>
      <c r="Y149" s="77">
        <f t="shared" si="47"/>
        <v>1.944075743779497E-2</v>
      </c>
      <c r="Z149" s="113">
        <f>IFERROR(VLOOKUP($A149,[29]Maturity!$A$5:$B$21,2,FALSE),0)</f>
        <v>4150923.19</v>
      </c>
      <c r="AC149" s="77">
        <f t="shared" si="48"/>
        <v>2.0291901786762382E-2</v>
      </c>
      <c r="AD149" s="113">
        <f>IFERROR(VLOOKUP($B149,'[37](906__MATURITY_QUARTER_AND_YEAR'!$A$2:$D$21,4,FALSE),0)</f>
        <v>4728496.51</v>
      </c>
      <c r="AG149" s="77">
        <f t="shared" si="49"/>
        <v>2.0000125624513528E-2</v>
      </c>
      <c r="AH149" s="113">
        <f>IFERROR(VLOOKUP($B149,'[38](906__MATURITY_QUARTER_AND_YEAR'!$A$1:$D$21,4,FALSE),0)</f>
        <v>5067800.71</v>
      </c>
      <c r="AK149" s="77">
        <f t="shared" si="50"/>
        <v>2.386168445254656E-2</v>
      </c>
      <c r="AL149" s="113">
        <f>VLOOKUP(B149,'[39](906__MATURITY_QUARTER_AND_YEAR'!$A$2:$D$21,4,0)</f>
        <v>6907508.2599999998</v>
      </c>
      <c r="AO149" s="77">
        <v>2.998445231978944E-2</v>
      </c>
      <c r="AP149" s="113">
        <v>9688156.9100000076</v>
      </c>
    </row>
    <row r="150" spans="1:42">
      <c r="A150" s="107" t="s">
        <v>266</v>
      </c>
      <c r="B150" s="1" t="s">
        <v>168</v>
      </c>
      <c r="E150" s="77">
        <f t="shared" si="45"/>
        <v>0</v>
      </c>
      <c r="F150" s="113">
        <f>IFERROR(VLOOKUP($A150,'[34]Maturity Quarter'!$A$2:$C$12,3,FALSE),0)</f>
        <v>0</v>
      </c>
      <c r="I150" s="77">
        <v>0</v>
      </c>
      <c r="J150" s="113">
        <v>0</v>
      </c>
      <c r="M150" s="77">
        <v>8.8733182120913462E-5</v>
      </c>
      <c r="N150" s="113">
        <v>12196.43</v>
      </c>
      <c r="Q150" s="77">
        <v>5.6429796041179052E-3</v>
      </c>
      <c r="R150" s="113">
        <v>871382.8200000003</v>
      </c>
      <c r="U150" s="77">
        <f t="shared" si="46"/>
        <v>1.3807488567967484E-2</v>
      </c>
      <c r="V150" s="113">
        <f>IFERROR(VLOOKUP($A150,'[35]Maturity Quarter'!$A$2:$C$18,3,FALSE),0)</f>
        <v>2551664.5499999989</v>
      </c>
      <c r="Y150" s="77">
        <f t="shared" si="47"/>
        <v>1.4891568756183006E-2</v>
      </c>
      <c r="Z150" s="113">
        <f>IFERROR(VLOOKUP($A150,[29]Maturity!$A$5:$B$21,2,FALSE),0)</f>
        <v>3179596.1800000011</v>
      </c>
      <c r="AC150" s="77">
        <f t="shared" si="48"/>
        <v>1.6652762694794352E-2</v>
      </c>
      <c r="AD150" s="113">
        <f>IFERROR(VLOOKUP($B150,'[37](906__MATURITY_QUARTER_AND_YEAR'!$A$2:$D$21,4,FALSE),0)</f>
        <v>3880490.41</v>
      </c>
      <c r="AG150" s="77">
        <f t="shared" si="49"/>
        <v>2.2231589306420156E-2</v>
      </c>
      <c r="AH150" s="113">
        <f>IFERROR(VLOOKUP($B150,'[38](906__MATURITY_QUARTER_AND_YEAR'!$A$1:$D$21,4,FALSE),0)</f>
        <v>5633227.8200000003</v>
      </c>
      <c r="AK150" s="77">
        <f t="shared" si="50"/>
        <v>2.5480378355799672E-2</v>
      </c>
      <c r="AL150" s="113">
        <f>VLOOKUP(B150,'[39](906__MATURITY_QUARTER_AND_YEAR'!$A$2:$D$21,4,0)</f>
        <v>7376089.6600000001</v>
      </c>
      <c r="AO150" s="77">
        <v>2.5179537132560454E-2</v>
      </c>
      <c r="AP150" s="113">
        <v>8135659.9099999964</v>
      </c>
    </row>
    <row r="151" spans="1:42">
      <c r="A151" s="107" t="s">
        <v>267</v>
      </c>
      <c r="B151" s="1" t="s">
        <v>169</v>
      </c>
      <c r="E151" s="77">
        <f t="shared" si="45"/>
        <v>0</v>
      </c>
      <c r="F151" s="113">
        <f>IFERROR(VLOOKUP($A151,'[34]Maturity Quarter'!$A$2:$C$12,3,FALSE),0)</f>
        <v>0</v>
      </c>
      <c r="I151" s="77">
        <v>2.8503408601952552E-4</v>
      </c>
      <c r="J151" s="113">
        <v>34892.479999999996</v>
      </c>
      <c r="M151" s="77">
        <v>2.6661783479409763E-3</v>
      </c>
      <c r="N151" s="113">
        <v>366467.83999999985</v>
      </c>
      <c r="Q151" s="77">
        <v>7.9428323578484891E-3</v>
      </c>
      <c r="R151" s="113">
        <v>1226523.6000000001</v>
      </c>
      <c r="U151" s="77">
        <f t="shared" si="46"/>
        <v>8.9028688924144908E-3</v>
      </c>
      <c r="V151" s="113">
        <f>IFERROR(VLOOKUP($A151,'[35]Maturity Quarter'!$A$2:$C$18,3,FALSE),0)</f>
        <v>1645276.39</v>
      </c>
      <c r="Y151" s="77">
        <f t="shared" si="47"/>
        <v>9.6379475156289137E-3</v>
      </c>
      <c r="Z151" s="113">
        <f>IFERROR(VLOOKUP($A151,[29]Maturity!$A$5:$B$21,2,FALSE),0)</f>
        <v>2057861.1699999995</v>
      </c>
      <c r="AC151" s="77">
        <f t="shared" si="48"/>
        <v>1.1094307001796578E-2</v>
      </c>
      <c r="AD151" s="113">
        <f>IFERROR(VLOOKUP($B151,'[37](906__MATURITY_QUARTER_AND_YEAR'!$A$2:$D$21,4,FALSE),0)</f>
        <v>2585237.8199999998</v>
      </c>
      <c r="AG151" s="77">
        <f t="shared" si="49"/>
        <v>1.2853608987617542E-2</v>
      </c>
      <c r="AH151" s="113">
        <f>IFERROR(VLOOKUP($B151,'[38](906__MATURITY_QUARTER_AND_YEAR'!$A$1:$D$21,4,FALSE),0)</f>
        <v>3256955.98</v>
      </c>
      <c r="AK151" s="77">
        <f t="shared" si="50"/>
        <v>1.3295999186930457E-2</v>
      </c>
      <c r="AL151" s="113">
        <f>VLOOKUP(B151,'[39](906__MATURITY_QUARTER_AND_YEAR'!$A$2:$D$21,4,0)</f>
        <v>3848941.36</v>
      </c>
      <c r="AO151" s="77">
        <v>1.313151364904348E-2</v>
      </c>
      <c r="AP151" s="113">
        <v>4242871.0500000017</v>
      </c>
    </row>
    <row r="152" spans="1:42">
      <c r="A152" s="107" t="s">
        <v>268</v>
      </c>
      <c r="B152" s="1" t="s">
        <v>170</v>
      </c>
      <c r="E152" s="77">
        <f t="shared" si="45"/>
        <v>1.3144284849795683E-4</v>
      </c>
      <c r="F152" s="113">
        <f>IFERROR(VLOOKUP($A152,'[34]Maturity Quarter'!$A$2:$C$12,3,FALSE),0)</f>
        <v>13009.279999999999</v>
      </c>
      <c r="I152" s="77">
        <v>2.8752634364362377E-3</v>
      </c>
      <c r="J152" s="113">
        <v>351975.69999999995</v>
      </c>
      <c r="M152" s="77">
        <v>7.3899524404649353E-3</v>
      </c>
      <c r="N152" s="113">
        <v>1015753.4699999994</v>
      </c>
      <c r="Q152" s="77">
        <v>8.3408424573971247E-3</v>
      </c>
      <c r="R152" s="113">
        <v>1287983.8899999999</v>
      </c>
      <c r="U152" s="77">
        <f t="shared" si="46"/>
        <v>9.2700943714836472E-3</v>
      </c>
      <c r="V152" s="113">
        <f>IFERROR(VLOOKUP($A152,'[35]Maturity Quarter'!$A$2:$C$18,3,FALSE),0)</f>
        <v>1713140.7399999993</v>
      </c>
      <c r="Y152" s="77">
        <f t="shared" si="47"/>
        <v>1.0405306348276114E-2</v>
      </c>
      <c r="Z152" s="113">
        <f>IFERROR(VLOOKUP($A152,[29]Maturity!$A$5:$B$21,2,FALSE),0)</f>
        <v>2221704.9699999993</v>
      </c>
      <c r="AC152" s="77">
        <f t="shared" si="48"/>
        <v>1.2446290233794207E-2</v>
      </c>
      <c r="AD152" s="113">
        <f>IFERROR(VLOOKUP($B152,'[37](906__MATURITY_QUARTER_AND_YEAR'!$A$2:$D$21,4,FALSE),0)</f>
        <v>2900282.12</v>
      </c>
      <c r="AG152" s="77">
        <f t="shared" si="49"/>
        <v>1.2355876067939501E-2</v>
      </c>
      <c r="AH152" s="113">
        <f>IFERROR(VLOOKUP($B152,'[38](906__MATURITY_QUARTER_AND_YEAR'!$A$1:$D$21,4,FALSE),0)</f>
        <v>3130836.21</v>
      </c>
      <c r="AK152" s="77">
        <f t="shared" si="50"/>
        <v>1.2445274379440447E-2</v>
      </c>
      <c r="AL152" s="113">
        <f>VLOOKUP(B152,'[39](906__MATURITY_QUARTER_AND_YEAR'!$A$2:$D$21,4,0)</f>
        <v>3602672.55</v>
      </c>
      <c r="AO152" s="77">
        <v>1.3117819846419921E-2</v>
      </c>
      <c r="AP152" s="113">
        <v>4238446.4999999991</v>
      </c>
    </row>
    <row r="153" spans="1:42">
      <c r="A153" s="107" t="s">
        <v>269</v>
      </c>
      <c r="B153" s="1" t="s">
        <v>171</v>
      </c>
      <c r="E153" s="77">
        <f t="shared" si="45"/>
        <v>1.5577546966503606E-2</v>
      </c>
      <c r="F153" s="113">
        <f>IFERROR(VLOOKUP($A153,'[34]Maturity Quarter'!$A$2:$C$12,3,FALSE),0)</f>
        <v>1541755.0100000007</v>
      </c>
      <c r="I153" s="77">
        <v>3.4898192280425032E-2</v>
      </c>
      <c r="J153" s="113">
        <v>4272066.169999999</v>
      </c>
      <c r="M153" s="77">
        <v>3.4566094859835653E-2</v>
      </c>
      <c r="N153" s="113">
        <v>4751130.820000005</v>
      </c>
      <c r="Q153" s="77">
        <v>3.4208419965986718E-2</v>
      </c>
      <c r="R153" s="113">
        <v>5282427.29</v>
      </c>
      <c r="U153" s="77">
        <f t="shared" si="46"/>
        <v>3.8181189705312528E-2</v>
      </c>
      <c r="V153" s="113">
        <f>IFERROR(VLOOKUP($A153,'[35]Maturity Quarter'!$A$2:$C$18,3,FALSE),0)</f>
        <v>7055996.3000000017</v>
      </c>
      <c r="Y153" s="77">
        <f t="shared" si="47"/>
        <v>4.7105568014154491E-2</v>
      </c>
      <c r="Z153" s="113">
        <f>IFERROR(VLOOKUP($A153,[29]Maturity!$A$5:$B$21,2,FALSE),0)</f>
        <v>10057817.720000004</v>
      </c>
      <c r="AC153" s="77">
        <f t="shared" si="48"/>
        <v>4.5297044694426129E-2</v>
      </c>
      <c r="AD153" s="113">
        <f>IFERROR(VLOOKUP($B153,'[37](906__MATURITY_QUARTER_AND_YEAR'!$A$2:$D$21,4,FALSE),0)</f>
        <v>10555290.48</v>
      </c>
      <c r="AG153" s="77">
        <f t="shared" si="49"/>
        <v>4.49706594908778E-2</v>
      </c>
      <c r="AH153" s="113">
        <f>IFERROR(VLOOKUP($B153,'[38](906__MATURITY_QUARTER_AND_YEAR'!$A$1:$D$21,4,FALSE),0)</f>
        <v>11395045.43</v>
      </c>
      <c r="AK153" s="77">
        <f t="shared" si="50"/>
        <v>4.6235906889579695E-2</v>
      </c>
      <c r="AL153" s="113">
        <f>VLOOKUP(B153,'[39](906__MATURITY_QUARTER_AND_YEAR'!$A$2:$D$21,4,0)</f>
        <v>13384424.279999999</v>
      </c>
      <c r="AO153" s="77">
        <v>5.052592191712129E-2</v>
      </c>
      <c r="AP153" s="113">
        <v>16325229.299999997</v>
      </c>
    </row>
    <row r="154" spans="1:42">
      <c r="A154" s="107" t="s">
        <v>270</v>
      </c>
      <c r="B154" s="1" t="s">
        <v>226</v>
      </c>
      <c r="E154" s="77">
        <f t="shared" si="45"/>
        <v>3.0923301797747577E-2</v>
      </c>
      <c r="F154" s="113">
        <f>IFERROR(VLOOKUP($A154,'[34]Maturity Quarter'!$A$2:$C$12,3,FALSE),0)</f>
        <v>3060568.8800000013</v>
      </c>
      <c r="I154" s="77">
        <v>3.0654574601038643E-2</v>
      </c>
      <c r="J154" s="113">
        <v>3752583.2299999995</v>
      </c>
      <c r="M154" s="77">
        <v>3.2601148758715032E-2</v>
      </c>
      <c r="N154" s="113">
        <v>4481047.7799999984</v>
      </c>
      <c r="Q154" s="77">
        <v>3.856971472796987E-2</v>
      </c>
      <c r="R154" s="113">
        <v>5955893.7200000025</v>
      </c>
      <c r="U154" s="77">
        <f t="shared" si="46"/>
        <v>4.2411102492291644E-2</v>
      </c>
      <c r="V154" s="113">
        <f>IFERROR(VLOOKUP($A154,'[35]Maturity Quarter'!$A$2:$C$18,3,FALSE),0)</f>
        <v>7837696.6400000025</v>
      </c>
      <c r="Y154" s="77">
        <f t="shared" si="47"/>
        <v>4.1346850344540789E-2</v>
      </c>
      <c r="Z154" s="113">
        <f>IFERROR(VLOOKUP($A154,[29]Maturity!$A$5:$B$21,2,FALSE),0)</f>
        <v>8828236.2700000014</v>
      </c>
      <c r="AC154" s="77">
        <f t="shared" si="48"/>
        <v>4.0622395078559817E-2</v>
      </c>
      <c r="AD154" s="113">
        <f>IFERROR(VLOOKUP($B154,'[37](906__MATURITY_QUARTER_AND_YEAR'!$A$2:$D$21,4,FALSE),0)</f>
        <v>9465985.7599999998</v>
      </c>
      <c r="AG154" s="77">
        <f t="shared" si="49"/>
        <v>4.4447768517810932E-2</v>
      </c>
      <c r="AH154" s="113">
        <f>IFERROR(VLOOKUP($B154,'[38](906__MATURITY_QUARTER_AND_YEAR'!$A$1:$D$21,4,FALSE),0)</f>
        <v>11262550.9</v>
      </c>
      <c r="AK154" s="77">
        <f t="shared" si="50"/>
        <v>4.5644462334406569E-2</v>
      </c>
      <c r="AL154" s="113">
        <f>VLOOKUP(B154,'[39](906__MATURITY_QUARTER_AND_YEAR'!$A$2:$D$21,4,0)</f>
        <v>13213212.220000001</v>
      </c>
      <c r="AO154" s="77">
        <v>4.3217756026716715E-2</v>
      </c>
      <c r="AP154" s="113">
        <v>13963916.939999998</v>
      </c>
    </row>
    <row r="155" spans="1:42">
      <c r="A155" s="107" t="s">
        <v>271</v>
      </c>
      <c r="B155" s="1" t="s">
        <v>227</v>
      </c>
      <c r="E155" s="77">
        <f t="shared" si="45"/>
        <v>1.9790894931429912E-2</v>
      </c>
      <c r="F155" s="113">
        <f>IFERROR(VLOOKUP($A155,'[34]Maturity Quarter'!$A$2:$C$12,3,FALSE),0)</f>
        <v>1958762.28</v>
      </c>
      <c r="I155" s="77">
        <v>1.916941529793147E-2</v>
      </c>
      <c r="J155" s="113">
        <v>2346626.1499999994</v>
      </c>
      <c r="M155" s="77">
        <v>2.1150834560331094E-2</v>
      </c>
      <c r="N155" s="113">
        <v>2907195.1099999994</v>
      </c>
      <c r="Q155" s="77">
        <v>2.575529547785526E-2</v>
      </c>
      <c r="R155" s="113">
        <v>3977104.9300000006</v>
      </c>
      <c r="U155" s="77">
        <f t="shared" si="46"/>
        <v>2.5518160280213854E-2</v>
      </c>
      <c r="V155" s="113">
        <f>IFERROR(VLOOKUP($A155,'[35]Maturity Quarter'!$A$2:$C$18,3,FALSE),0)</f>
        <v>4715831.1700000009</v>
      </c>
      <c r="Y155" s="77">
        <f t="shared" si="47"/>
        <v>2.4282199502207509E-2</v>
      </c>
      <c r="Z155" s="113">
        <f>IFERROR(VLOOKUP($A155,[29]Maturity!$A$5:$B$21,2,FALSE),0)</f>
        <v>5184651.1300000008</v>
      </c>
      <c r="AC155" s="77">
        <f t="shared" si="48"/>
        <v>2.6131631383163902E-2</v>
      </c>
      <c r="AD155" s="113">
        <f>IFERROR(VLOOKUP($B155,'[37](906__MATURITY_QUARTER_AND_YEAR'!$A$2:$D$21,4,FALSE),0)</f>
        <v>6089292.6200000001</v>
      </c>
      <c r="AG155" s="77">
        <f t="shared" si="49"/>
        <v>2.7769728727247225E-2</v>
      </c>
      <c r="AH155" s="113">
        <f>IFERROR(VLOOKUP($B155,'[38](906__MATURITY_QUARTER_AND_YEAR'!$A$1:$D$21,4,FALSE),0)</f>
        <v>7036528.3499999996</v>
      </c>
      <c r="AK155" s="77">
        <f t="shared" si="50"/>
        <v>2.6519145482516073E-2</v>
      </c>
      <c r="AL155" s="113">
        <f>VLOOKUP(B155,'[39](906__MATURITY_QUARTER_AND_YEAR'!$A$2:$D$21,4,0)</f>
        <v>7676793.1799999997</v>
      </c>
      <c r="AO155" s="77">
        <v>2.5362740623665499E-2</v>
      </c>
      <c r="AP155" s="113">
        <v>8194854.0599999968</v>
      </c>
    </row>
    <row r="156" spans="1:42">
      <c r="A156" s="107" t="s">
        <v>272</v>
      </c>
      <c r="B156" s="1" t="s">
        <v>228</v>
      </c>
      <c r="E156" s="77">
        <f t="shared" si="45"/>
        <v>3.4087067107196285E-2</v>
      </c>
      <c r="F156" s="113">
        <f>IFERROR(VLOOKUP($A156,'[34]Maturity Quarter'!$A$2:$C$12,3,FALSE),0)</f>
        <v>3373695.9099999988</v>
      </c>
      <c r="I156" s="77">
        <v>3.4278924219366388E-2</v>
      </c>
      <c r="J156" s="113">
        <v>4196258.4000000022</v>
      </c>
      <c r="M156" s="77">
        <v>3.8711380431547399E-2</v>
      </c>
      <c r="N156" s="113">
        <v>5320902.8500000015</v>
      </c>
      <c r="Q156" s="77">
        <v>3.7055877246524462E-2</v>
      </c>
      <c r="R156" s="113">
        <v>5722128.5699999956</v>
      </c>
      <c r="U156" s="77">
        <f t="shared" si="46"/>
        <v>3.4009889782980973E-2</v>
      </c>
      <c r="V156" s="113">
        <f>IFERROR(VLOOKUP($A156,'[35]Maturity Quarter'!$A$2:$C$18,3,FALSE),0)</f>
        <v>6285127.7899999982</v>
      </c>
      <c r="Y156" s="77">
        <f t="shared" si="47"/>
        <v>3.3597634292533499E-2</v>
      </c>
      <c r="Z156" s="113">
        <f>IFERROR(VLOOKUP($A156,[29]Maturity!$A$5:$B$21,2,FALSE),0)</f>
        <v>7173650.4999999963</v>
      </c>
      <c r="AC156" s="77">
        <f t="shared" si="48"/>
        <v>3.4976539866383272E-2</v>
      </c>
      <c r="AD156" s="113">
        <f>IFERROR(VLOOKUP($B156,'[37](906__MATURITY_QUARTER_AND_YEAR'!$A$2:$D$21,4,FALSE),0)</f>
        <v>8150367</v>
      </c>
      <c r="AG156" s="77">
        <f t="shared" si="49"/>
        <v>3.5501253771443149E-2</v>
      </c>
      <c r="AH156" s="113">
        <f>IFERROR(VLOOKUP($B156,'[38](906__MATURITY_QUARTER_AND_YEAR'!$A$1:$D$21,4,FALSE),0)</f>
        <v>8995607.4499999993</v>
      </c>
      <c r="AK156" s="77">
        <f t="shared" si="50"/>
        <v>3.3072378358367571E-2</v>
      </c>
      <c r="AL156" s="113">
        <f>VLOOKUP(B156,'[39](906__MATURITY_QUARTER_AND_YEAR'!$A$2:$D$21,4,0)</f>
        <v>9573830.6799999997</v>
      </c>
      <c r="AO156" s="77">
        <v>3.4474613725954978E-2</v>
      </c>
      <c r="AP156" s="113">
        <v>11138955.07</v>
      </c>
    </row>
    <row r="157" spans="1:42">
      <c r="A157" s="107" t="s">
        <v>273</v>
      </c>
      <c r="B157" s="1" t="s">
        <v>229</v>
      </c>
      <c r="E157" s="77">
        <f t="shared" si="45"/>
        <v>0.20806873337921561</v>
      </c>
      <c r="F157" s="113">
        <f>IFERROR(VLOOKUP($A157,'[34]Maturity Quarter'!$A$2:$C$12,3,FALSE),0)</f>
        <v>20593166.100000009</v>
      </c>
      <c r="I157" s="77">
        <v>0.23737479819335172</v>
      </c>
      <c r="J157" s="113">
        <v>29058262.869999986</v>
      </c>
      <c r="M157" s="77">
        <v>0.2324897155099846</v>
      </c>
      <c r="N157" s="113">
        <v>31955853.189999979</v>
      </c>
      <c r="Q157" s="77">
        <v>0.2201846862150747</v>
      </c>
      <c r="R157" s="113">
        <v>34000681.600000009</v>
      </c>
      <c r="U157" s="77">
        <f t="shared" si="46"/>
        <v>0.22309599171535333</v>
      </c>
      <c r="V157" s="113">
        <f>IFERROR(VLOOKUP($A157,'[35]Maturity Quarter'!$A$2:$C$18,3,FALSE),0)</f>
        <v>41228796.280000016</v>
      </c>
      <c r="Y157" s="77">
        <f t="shared" si="47"/>
        <v>0.23744897309973348</v>
      </c>
      <c r="Z157" s="113">
        <f>IFERROR(VLOOKUP($A157,[29]Maturity!$A$5:$B$21,2,FALSE),0)</f>
        <v>50699282.270000041</v>
      </c>
      <c r="AC157" s="77">
        <f t="shared" si="48"/>
        <v>0.23227643789998428</v>
      </c>
      <c r="AD157" s="113">
        <f>IFERROR(VLOOKUP($B157,'[37](906__MATURITY_QUARTER_AND_YEAR'!$A$2:$D$21,4,FALSE),0)</f>
        <v>54125943.32</v>
      </c>
      <c r="AG157" s="77">
        <f t="shared" si="49"/>
        <v>0.22170587858360866</v>
      </c>
      <c r="AH157" s="113">
        <f>IFERROR(VLOOKUP($B157,'[38](906__MATURITY_QUARTER_AND_YEAR'!$A$1:$D$21,4,FALSE),0)</f>
        <v>56177707.579999998</v>
      </c>
      <c r="AK157" s="77">
        <f t="shared" si="50"/>
        <v>0.21848238447746271</v>
      </c>
      <c r="AL157" s="113">
        <f>VLOOKUP(B157,'[39](906__MATURITY_QUARTER_AND_YEAR'!$A$2:$D$21,4,0)</f>
        <v>63246535.609999999</v>
      </c>
      <c r="AO157" s="77">
        <v>0.22332964164409361</v>
      </c>
      <c r="AP157" s="113">
        <v>72159150.610000029</v>
      </c>
    </row>
    <row r="158" spans="1:42">
      <c r="A158" s="107" t="s">
        <v>274</v>
      </c>
      <c r="B158" s="1" t="s">
        <v>239</v>
      </c>
      <c r="E158" s="77">
        <f t="shared" si="45"/>
        <v>0.15571419794365124</v>
      </c>
      <c r="F158" s="113">
        <f>IFERROR(VLOOKUP($A158,'[34]Maturity Quarter'!$A$2:$C$12,3,FALSE),0)</f>
        <v>15411485.859999994</v>
      </c>
      <c r="I158" s="77">
        <v>0.14117566860536973</v>
      </c>
      <c r="J158" s="113">
        <v>17282035.499999989</v>
      </c>
      <c r="M158" s="77">
        <v>0.14518570733131289</v>
      </c>
      <c r="N158" s="113">
        <v>19955864.020000003</v>
      </c>
      <c r="Q158" s="77">
        <v>0.1457822547130391</v>
      </c>
      <c r="R158" s="113">
        <v>22511538.429999989</v>
      </c>
      <c r="U158" s="77">
        <f t="shared" si="46"/>
        <v>0.14412375730442875</v>
      </c>
      <c r="V158" s="113">
        <f>IFERROR(VLOOKUP($A158,'[35]Maturity Quarter'!$A$2:$C$18,3,FALSE),0)</f>
        <v>26634494.78999998</v>
      </c>
      <c r="Y158" s="77">
        <f t="shared" si="47"/>
        <v>0.13459952444946047</v>
      </c>
      <c r="Z158" s="113">
        <f>IFERROR(VLOOKUP($A158,[29]Maturity!$A$5:$B$21,2,FALSE),0)</f>
        <v>28739224.239999998</v>
      </c>
      <c r="AC158" s="77">
        <f t="shared" si="48"/>
        <v>0.134382177286578</v>
      </c>
      <c r="AD158" s="113">
        <f>IFERROR(VLOOKUP($B158,'[37](906__MATURITY_QUARTER_AND_YEAR'!$A$2:$D$21,4,FALSE),0)</f>
        <v>31314248.559999999</v>
      </c>
      <c r="AG158" s="77">
        <f t="shared" si="49"/>
        <v>0.13409145818057996</v>
      </c>
      <c r="AH158" s="113">
        <f>IFERROR(VLOOKUP($B158,'[38](906__MATURITY_QUARTER_AND_YEAR'!$A$1:$D$21,4,FALSE),0)</f>
        <v>33977225.93</v>
      </c>
      <c r="AK158" s="77">
        <f t="shared" si="50"/>
        <v>0.13487552549762258</v>
      </c>
      <c r="AL158" s="113">
        <f>VLOOKUP(B158,'[39](906__MATURITY_QUARTER_AND_YEAR'!$A$2:$D$21,4,0)</f>
        <v>39043924.509999998</v>
      </c>
      <c r="AO158" s="77">
        <v>0.128243626883662</v>
      </c>
      <c r="AP158" s="113">
        <v>41436287.269999988</v>
      </c>
    </row>
    <row r="159" spans="1:42">
      <c r="A159" s="107" t="s">
        <v>275</v>
      </c>
      <c r="B159" s="1" t="s">
        <v>240</v>
      </c>
      <c r="E159" s="77">
        <f t="shared" si="45"/>
        <v>8.5673861884292241E-2</v>
      </c>
      <c r="F159" s="113">
        <f>IFERROR(VLOOKUP($A159,'[34]Maturity Quarter'!$A$2:$C$12,3,FALSE),0)</f>
        <v>8479390.6300000045</v>
      </c>
      <c r="I159" s="77">
        <v>8.0502754241901009E-2</v>
      </c>
      <c r="J159" s="113">
        <v>9854753.8000000007</v>
      </c>
      <c r="M159" s="77">
        <v>8.3825715791445585E-2</v>
      </c>
      <c r="N159" s="113">
        <v>11521895.760000002</v>
      </c>
      <c r="Q159" s="77">
        <v>8.549659698534598E-2</v>
      </c>
      <c r="R159" s="113">
        <v>13202292.23</v>
      </c>
      <c r="U159" s="77">
        <f t="shared" si="46"/>
        <v>7.8343935873696771E-2</v>
      </c>
      <c r="V159" s="113">
        <f>IFERROR(VLOOKUP($A159,'[35]Maturity Quarter'!$A$2:$C$18,3,FALSE),0)</f>
        <v>14478190.069999993</v>
      </c>
      <c r="Y159" s="77">
        <f t="shared" si="47"/>
        <v>7.3950055288701286E-2</v>
      </c>
      <c r="Z159" s="113">
        <f>IFERROR(VLOOKUP($A159,[29]Maturity!$A$5:$B$21,2,FALSE),0)</f>
        <v>15789559.659999995</v>
      </c>
      <c r="AC159" s="77">
        <f t="shared" si="48"/>
        <v>7.7403020365874861E-2</v>
      </c>
      <c r="AD159" s="113">
        <f>IFERROR(VLOOKUP($B159,'[37](906__MATURITY_QUARTER_AND_YEAR'!$A$2:$D$21,4,FALSE),0)</f>
        <v>18036747.640000001</v>
      </c>
      <c r="AG159" s="77">
        <f t="shared" si="49"/>
        <v>7.7823980627167666E-2</v>
      </c>
      <c r="AH159" s="113">
        <f>IFERROR(VLOOKUP($B159,'[38](906__MATURITY_QUARTER_AND_YEAR'!$A$1:$D$21,4,FALSE),0)</f>
        <v>19719697.350000001</v>
      </c>
      <c r="AK159" s="77">
        <f t="shared" si="50"/>
        <v>7.3245037131757867E-2</v>
      </c>
      <c r="AL159" s="113">
        <f>VLOOKUP(B159,'[39](906__MATURITY_QUARTER_AND_YEAR'!$A$2:$D$21,4,0)</f>
        <v>21203058.82</v>
      </c>
      <c r="AO159" s="77">
        <v>7.0250980375356709E-2</v>
      </c>
      <c r="AP159" s="113">
        <v>22698514.340000004</v>
      </c>
    </row>
    <row r="160" spans="1:42">
      <c r="A160" s="107" t="s">
        <v>276</v>
      </c>
      <c r="B160" s="1" t="s">
        <v>241</v>
      </c>
      <c r="E160" s="77">
        <f t="shared" si="45"/>
        <v>0.11605704654300976</v>
      </c>
      <c r="F160" s="113">
        <f>IFERROR(VLOOKUP($A160,'[34]Maturity Quarter'!$A$2:$C$12,3,FALSE),0)</f>
        <v>11486502.550000008</v>
      </c>
      <c r="I160" s="77">
        <v>0.11027241025015945</v>
      </c>
      <c r="J160" s="113">
        <v>13499009.620000003</v>
      </c>
      <c r="M160" s="77">
        <v>0.10901464956751818</v>
      </c>
      <c r="N160" s="113">
        <v>14984130.07</v>
      </c>
      <c r="Q160" s="77">
        <v>0.10828535728782619</v>
      </c>
      <c r="R160" s="113">
        <v>16721308.000000002</v>
      </c>
      <c r="U160" s="77">
        <f t="shared" si="46"/>
        <v>0.1018746440596833</v>
      </c>
      <c r="V160" s="113">
        <f>IFERROR(VLOOKUP($A160,'[35]Maturity Quarter'!$A$2:$C$18,3,FALSE),0)</f>
        <v>18826734.239999991</v>
      </c>
      <c r="Y160" s="77">
        <f t="shared" si="47"/>
        <v>9.6284355310502653E-2</v>
      </c>
      <c r="Z160" s="113">
        <f>IFERROR(VLOOKUP($A160,[29]Maturity!$A$5:$B$21,2,FALSE),0)</f>
        <v>20558302.03999998</v>
      </c>
      <c r="AC160" s="77">
        <f t="shared" si="48"/>
        <v>9.602395569668408E-2</v>
      </c>
      <c r="AD160" s="113">
        <f>IFERROR(VLOOKUP($B160,'[37](906__MATURITY_QUARTER_AND_YEAR'!$A$2:$D$21,4,FALSE),0)</f>
        <v>22375869.16</v>
      </c>
      <c r="AG160" s="77">
        <f t="shared" si="49"/>
        <v>9.1263011103275365E-2</v>
      </c>
      <c r="AH160" s="113">
        <f>IFERROR(VLOOKUP($B160,'[38](906__MATURITY_QUARTER_AND_YEAR'!$A$1:$D$21,4,FALSE),0)</f>
        <v>23124992.370000001</v>
      </c>
      <c r="AK160" s="77">
        <f t="shared" si="50"/>
        <v>8.7946054145331271E-2</v>
      </c>
      <c r="AL160" s="113">
        <f>VLOOKUP(B160,'[39](906__MATURITY_QUARTER_AND_YEAR'!$A$2:$D$21,4,0)</f>
        <v>25458726.379999999</v>
      </c>
      <c r="AO160" s="77">
        <v>8.4798219725375684E-2</v>
      </c>
      <c r="AP160" s="113">
        <v>27398814.879999999</v>
      </c>
    </row>
    <row r="161" spans="1:42">
      <c r="A161" s="107" t="s">
        <v>277</v>
      </c>
      <c r="B161" s="1" t="s">
        <v>242</v>
      </c>
      <c r="E161" s="77">
        <f t="shared" si="45"/>
        <v>0.19756971898213557</v>
      </c>
      <c r="F161" s="113">
        <f>IFERROR(VLOOKUP($A161,'[34]Maturity Quarter'!$A$2:$C$12,3,FALSE),0)</f>
        <v>19554048.189999998</v>
      </c>
      <c r="I161" s="77">
        <v>0.19135905317981222</v>
      </c>
      <c r="J161" s="113">
        <v>23425240.220000017</v>
      </c>
      <c r="M161" s="77">
        <v>0.17691258619703759</v>
      </c>
      <c r="N161" s="113">
        <v>24316742.870000016</v>
      </c>
      <c r="Q161" s="77">
        <v>0.16430172691914174</v>
      </c>
      <c r="R161" s="113">
        <v>25371295.340000007</v>
      </c>
      <c r="U161" s="77">
        <f t="shared" si="46"/>
        <v>0.16128340002827615</v>
      </c>
      <c r="V161" s="113">
        <f>IFERROR(VLOOKUP($A161,'[35]Maturity Quarter'!$A$2:$C$18,3,FALSE),0)</f>
        <v>29805647.300000016</v>
      </c>
      <c r="Y161" s="77">
        <f t="shared" si="47"/>
        <v>0.15691878657276212</v>
      </c>
      <c r="Z161" s="113">
        <f>IFERROR(VLOOKUP($A161,[29]Maturity!$A$5:$B$21,2,FALSE),0)</f>
        <v>33504755.779999994</v>
      </c>
      <c r="AC161" s="77">
        <f t="shared" si="48"/>
        <v>0.14872250928061764</v>
      </c>
      <c r="AD161" s="113">
        <f>IFERROR(VLOOKUP($B161,'[37](906__MATURITY_QUARTER_AND_YEAR'!$A$2:$D$21,4,FALSE),0)</f>
        <v>34655887.530000001</v>
      </c>
      <c r="AG161" s="77">
        <f t="shared" si="49"/>
        <v>0.13946798691637302</v>
      </c>
      <c r="AH161" s="113">
        <f>IFERROR(VLOOKUP($B161,'[38](906__MATURITY_QUARTER_AND_YEAR'!$A$1:$D$21,4,FALSE),0)</f>
        <v>35339576.18</v>
      </c>
      <c r="AK161" s="77">
        <f t="shared" si="50"/>
        <v>0.13621300929361335</v>
      </c>
      <c r="AL161" s="113">
        <f>VLOOKUP(B161,'[39](906__MATURITY_QUARTER_AND_YEAR'!$A$2:$D$21,4,0)</f>
        <v>39431100.880000003</v>
      </c>
      <c r="AO161" s="77">
        <v>0.13546060267358934</v>
      </c>
      <c r="AP161" s="113">
        <v>43768135.55999998</v>
      </c>
    </row>
    <row r="162" spans="1:42">
      <c r="A162" s="107" t="s">
        <v>278</v>
      </c>
      <c r="B162" s="1" t="s">
        <v>243</v>
      </c>
      <c r="E162" s="77">
        <f t="shared" si="45"/>
        <v>0.1364061876163202</v>
      </c>
      <c r="F162" s="113">
        <f>IFERROR(VLOOKUP($A162,'[34]Maturity Quarter'!$A$2:$C$12,3,FALSE),0)</f>
        <v>13500516.070000002</v>
      </c>
      <c r="I162" s="77">
        <v>0.11715391160818871</v>
      </c>
      <c r="J162" s="113">
        <v>14341409.390000004</v>
      </c>
      <c r="M162" s="77">
        <v>0.114912490476691</v>
      </c>
      <c r="N162" s="113">
        <v>15794791.899999997</v>
      </c>
      <c r="Q162" s="77">
        <v>0.1167674418281309</v>
      </c>
      <c r="R162" s="113">
        <v>18031102.340000011</v>
      </c>
      <c r="U162" s="77">
        <f t="shared" si="46"/>
        <v>0.11012109516600842</v>
      </c>
      <c r="V162" s="113">
        <f>IFERROR(VLOOKUP($A162,'[35]Maturity Quarter'!$A$2:$C$18,3,FALSE),0)</f>
        <v>20350702.689999986</v>
      </c>
      <c r="Y162" s="77">
        <f t="shared" si="47"/>
        <v>9.8946592671645892E-2</v>
      </c>
      <c r="Z162" s="113">
        <f>IFERROR(VLOOKUP($A162,[29]Maturity!$A$5:$B$21,2,FALSE),0)</f>
        <v>21126733.740000002</v>
      </c>
      <c r="AC162" s="77">
        <f t="shared" si="48"/>
        <v>9.4513541237856769E-2</v>
      </c>
      <c r="AD162" s="113">
        <f>IFERROR(VLOOKUP($B162,'[37](906__MATURITY_QUARTER_AND_YEAR'!$A$2:$D$21,4,FALSE),0)</f>
        <v>22023906.609999999</v>
      </c>
      <c r="AG162" s="77">
        <f t="shared" si="49"/>
        <v>9.1228720352418996E-2</v>
      </c>
      <c r="AH162" s="113">
        <f>IFERROR(VLOOKUP($B162,'[38](906__MATURITY_QUARTER_AND_YEAR'!$A$1:$D$21,4,FALSE),0)</f>
        <v>23116303.489999998</v>
      </c>
      <c r="AK162" s="77">
        <f t="shared" si="50"/>
        <v>8.8637607561845314E-2</v>
      </c>
      <c r="AL162" s="113">
        <f>VLOOKUP(B162,'[39](906__MATURITY_QUARTER_AND_YEAR'!$A$2:$D$21,4,0)</f>
        <v>25658918.07</v>
      </c>
      <c r="AO162" s="77">
        <v>8.214183841596838E-2</v>
      </c>
      <c r="AP162" s="113">
        <v>26540522.100000009</v>
      </c>
    </row>
    <row r="163" spans="1:42">
      <c r="A163" s="107" t="s">
        <v>279</v>
      </c>
      <c r="B163" s="1" t="s">
        <v>244</v>
      </c>
      <c r="E163" s="77">
        <f t="shared" si="45"/>
        <v>0</v>
      </c>
      <c r="F163" s="113">
        <f>IFERROR(VLOOKUP($A163,'[34]Maturity Quarter'!$A$2:$C$12,3,FALSE),0)</f>
        <v>0</v>
      </c>
      <c r="I163" s="77">
        <v>0</v>
      </c>
      <c r="J163" s="113">
        <v>0</v>
      </c>
      <c r="M163" s="77">
        <v>4.1065565329373303E-4</v>
      </c>
      <c r="N163" s="113">
        <v>56444.869999999995</v>
      </c>
      <c r="Q163" s="77">
        <v>3.6553078951807481E-4</v>
      </c>
      <c r="R163" s="113">
        <v>56444.869999999995</v>
      </c>
      <c r="U163" s="77">
        <f t="shared" si="46"/>
        <v>3.0543274085357772E-4</v>
      </c>
      <c r="V163" s="113">
        <f>IFERROR(VLOOKUP($A163,'[35]Maturity Quarter'!$A$2:$C$18,3,FALSE),0)</f>
        <v>56444.869999999995</v>
      </c>
      <c r="Y163" s="77">
        <f t="shared" si="47"/>
        <v>2.6435830682713024E-4</v>
      </c>
      <c r="Z163" s="113">
        <f>IFERROR(VLOOKUP($A163,[29]Maturity!$A$5:$B$21,2,FALSE),0)</f>
        <v>56444.87</v>
      </c>
      <c r="AC163" s="77">
        <f t="shared" si="48"/>
        <v>8.5622799543644929E-4</v>
      </c>
      <c r="AD163" s="113">
        <f>IFERROR(VLOOKUP($B163,'[37](906__MATURITY_QUARTER_AND_YEAR'!$A$2:$D$21,4,FALSE),0)</f>
        <v>199521.52</v>
      </c>
      <c r="AG163" s="77">
        <f t="shared" si="49"/>
        <v>1.0112042445432452E-3</v>
      </c>
      <c r="AH163" s="113">
        <f>IFERROR(VLOOKUP($B163,'[38](906__MATURITY_QUARTER_AND_YEAR'!$A$1:$D$21,4,FALSE),0)</f>
        <v>256227.47</v>
      </c>
      <c r="AK163" s="77">
        <f t="shared" si="50"/>
        <v>8.8512656186303859E-4</v>
      </c>
      <c r="AL163" s="113">
        <f>VLOOKUP(B163,'[39](906__MATURITY_QUARTER_AND_YEAR'!$A$2:$D$21,4,0)</f>
        <v>256227.47</v>
      </c>
      <c r="AO163" s="77">
        <v>7.9301361741005013E-4</v>
      </c>
      <c r="AP163" s="113">
        <v>256227.47000000003</v>
      </c>
    </row>
    <row r="164" spans="1:42">
      <c r="A164" s="107" t="s">
        <v>245</v>
      </c>
      <c r="B164" s="1" t="s">
        <v>245</v>
      </c>
      <c r="E164" s="77">
        <f t="shared" si="45"/>
        <v>0</v>
      </c>
      <c r="F164" s="113">
        <f>IFERROR(VLOOKUP($A164,'[34]Maturity Quarter'!$A$2:$C$12,3,FALSE),0)</f>
        <v>0</v>
      </c>
      <c r="I164" s="77">
        <v>0</v>
      </c>
      <c r="J164" s="113">
        <v>0</v>
      </c>
      <c r="M164" s="77">
        <v>0</v>
      </c>
      <c r="N164" s="113">
        <v>0</v>
      </c>
      <c r="Q164" s="77">
        <v>0</v>
      </c>
      <c r="R164" s="113">
        <v>0</v>
      </c>
      <c r="U164" s="77">
        <f t="shared" si="46"/>
        <v>0</v>
      </c>
      <c r="V164" s="113">
        <f>IFERROR(VLOOKUP($A164,'[35]Maturity Quarter'!$A$2:$C$18,3,FALSE),0)</f>
        <v>0</v>
      </c>
      <c r="Y164" s="77">
        <f t="shared" si="47"/>
        <v>0</v>
      </c>
      <c r="Z164" s="113">
        <f>IFERROR(VLOOKUP($A164,[29]Maturity!$A$5:$B$21,2,FALSE),0)</f>
        <v>0</v>
      </c>
      <c r="AC164" s="77">
        <f t="shared" si="48"/>
        <v>0</v>
      </c>
      <c r="AD164" s="113">
        <f>IFERROR(VLOOKUP($B164,'[37](906__MATURITY_QUARTER_AND_YEAR'!$A$2:$D$21,4,FALSE),0)</f>
        <v>0</v>
      </c>
      <c r="AG164" s="77">
        <f t="shared" si="49"/>
        <v>0</v>
      </c>
      <c r="AH164" s="113">
        <f>IFERROR(VLOOKUP($B164,'[38](906__MATURITY_QUARTER_AND_YEAR'!$A$1:$D$21,4,FALSE),0)</f>
        <v>0</v>
      </c>
      <c r="AK164" s="77">
        <f t="shared" si="50"/>
        <v>0</v>
      </c>
      <c r="AL164" s="113">
        <v>0</v>
      </c>
      <c r="AO164" s="77">
        <v>0</v>
      </c>
      <c r="AP164" s="113">
        <v>0</v>
      </c>
    </row>
    <row r="165" spans="1:42" ht="13.5" thickBot="1">
      <c r="A165" s="48"/>
      <c r="E165" s="77"/>
      <c r="F165" s="113"/>
      <c r="I165" s="77"/>
      <c r="J165" s="113"/>
      <c r="M165" s="77"/>
      <c r="N165" s="113"/>
      <c r="Q165" s="77"/>
      <c r="R165" s="113"/>
      <c r="U165" s="77"/>
      <c r="V165" s="113"/>
      <c r="Y165" s="77"/>
      <c r="Z165" s="113"/>
      <c r="AC165" s="77"/>
      <c r="AD165" s="113"/>
      <c r="AG165" s="77"/>
      <c r="AH165" s="113"/>
      <c r="AK165" s="77"/>
      <c r="AL165" s="113"/>
      <c r="AO165" s="77"/>
      <c r="AP165" s="113"/>
    </row>
    <row r="166" spans="1:42" ht="13.5" thickBot="1">
      <c r="A166" s="48"/>
      <c r="E166" s="78">
        <f>SUM(E137:E164)</f>
        <v>1</v>
      </c>
      <c r="F166" s="120">
        <f>SUM(F137:F165)</f>
        <v>98972900.76000002</v>
      </c>
      <c r="I166" s="78">
        <v>1.0000000000000002</v>
      </c>
      <c r="J166" s="120">
        <v>122415113.52999999</v>
      </c>
      <c r="M166" s="78">
        <v>0.99999999999999978</v>
      </c>
      <c r="N166" s="120">
        <v>137450609.89000002</v>
      </c>
      <c r="Q166" s="78">
        <v>0.99999999999999989</v>
      </c>
      <c r="R166" s="120">
        <v>154418920.70000002</v>
      </c>
      <c r="U166" s="78">
        <f>SUM(U137:U164)</f>
        <v>0.99999999999999989</v>
      </c>
      <c r="V166" s="120">
        <f>SUM(V137:V165)</f>
        <v>184802944.97</v>
      </c>
      <c r="Y166" s="78">
        <f>SUM(Y137:Y164)</f>
        <v>0.99999999999999978</v>
      </c>
      <c r="Z166" s="120">
        <f>SUM(Z137:Z165)</f>
        <v>213516536.24000004</v>
      </c>
      <c r="AC166" s="78">
        <f>SUM(AC137:AC164)</f>
        <v>1</v>
      </c>
      <c r="AD166" s="120">
        <f>SUM(AD137:AD164)</f>
        <v>233023822.00000003</v>
      </c>
      <c r="AG166" s="78">
        <f>SUM(AG137:AG164)</f>
        <v>1</v>
      </c>
      <c r="AH166" s="120">
        <f>SUM(AH137:AH164)</f>
        <v>253388443.91000003</v>
      </c>
      <c r="AK166" s="78">
        <f>SUM(AK137:AK164)</f>
        <v>1</v>
      </c>
      <c r="AL166" s="120">
        <f>SUM(AL137:AL164)</f>
        <v>289481166.92000002</v>
      </c>
      <c r="AO166" s="78">
        <v>1</v>
      </c>
      <c r="AP166" s="120">
        <v>323106015.30000001</v>
      </c>
    </row>
    <row r="167" spans="1:42">
      <c r="A167" s="72" t="s">
        <v>102</v>
      </c>
      <c r="E167" s="65"/>
      <c r="I167" s="65"/>
      <c r="M167" s="65"/>
      <c r="Q167" s="65"/>
      <c r="U167" s="65"/>
      <c r="Y167" s="65"/>
      <c r="AC167" s="65"/>
      <c r="AG167" s="65"/>
      <c r="AK167" s="65"/>
      <c r="AO167" s="65"/>
    </row>
    <row r="168" spans="1:42">
      <c r="A168" s="72" t="s">
        <v>103</v>
      </c>
      <c r="B168" s="70" t="s">
        <v>101</v>
      </c>
      <c r="C168" s="55"/>
      <c r="D168" s="55"/>
      <c r="E168" s="65"/>
      <c r="H168" s="55"/>
      <c r="I168" s="65"/>
      <c r="L168" s="55"/>
      <c r="M168" s="65"/>
      <c r="P168" s="55"/>
      <c r="Q168" s="65"/>
      <c r="T168" s="55"/>
      <c r="U168" s="65"/>
      <c r="X168" s="55"/>
      <c r="Y168" s="65"/>
      <c r="AB168" s="55"/>
      <c r="AC168" s="65"/>
      <c r="AF168" s="55"/>
      <c r="AG168" s="65"/>
      <c r="AK168" s="65"/>
      <c r="AO168" s="65"/>
    </row>
    <row r="169" spans="1:42">
      <c r="A169" s="72" t="s">
        <v>102</v>
      </c>
      <c r="B169" s="1" t="s">
        <v>102</v>
      </c>
      <c r="E169" s="79">
        <f t="shared" ref="E169:E179" si="51">F169/F$180</f>
        <v>0</v>
      </c>
      <c r="F169" s="113">
        <f>IFERROR(VLOOKUP($A169,[34]Seasoning!$A$2:$C$7,3,FALSE),0)</f>
        <v>0</v>
      </c>
      <c r="I169" s="79">
        <v>0</v>
      </c>
      <c r="J169" s="113">
        <v>0</v>
      </c>
      <c r="M169" s="79">
        <v>0</v>
      </c>
      <c r="N169" s="113">
        <v>0</v>
      </c>
      <c r="Q169" s="79">
        <v>0</v>
      </c>
      <c r="R169" s="113">
        <v>0</v>
      </c>
      <c r="U169" s="79">
        <f t="shared" ref="U169:U179" si="52">V169/V$180</f>
        <v>0</v>
      </c>
      <c r="V169" s="113">
        <f>IFERROR(VLOOKUP($A169,'[35]Seasoning Distribution'!$A$2:$C$9,4,FALSE),0)</f>
        <v>0</v>
      </c>
      <c r="Y169" s="79">
        <f t="shared" ref="Y169:Y179" si="53">Z169/Z$180</f>
        <v>0</v>
      </c>
      <c r="Z169" s="113">
        <f>IFERROR(VLOOKUP($B169,'[37](907__SEASONING_DISTRIBUTION'!$A$2:$D$11,4,FALSE),0)</f>
        <v>0</v>
      </c>
      <c r="AC169" s="79">
        <f t="shared" ref="AC169:AC179" si="54">AD169/AD$180</f>
        <v>0</v>
      </c>
      <c r="AD169" s="113">
        <f>IFERROR(VLOOKUP($B169,'[37](907__SEASONING_DISTRIBUTION'!$A$2:$D$11,4,FALSE),0)</f>
        <v>0</v>
      </c>
      <c r="AG169" s="79">
        <f t="shared" ref="AG169:AG179" si="55">AH169/AH$180</f>
        <v>0</v>
      </c>
      <c r="AH169" s="113">
        <f>IFERROR(VLOOKUP($B169,'[38](907__SEASONING_DISTRIBUTION'!$A$1:$D$11,4,FALSE),0)</f>
        <v>0</v>
      </c>
      <c r="AK169" s="79">
        <f>AL169/$AL$180</f>
        <v>0</v>
      </c>
      <c r="AL169" s="113">
        <f>VLOOKUP(B169,'[39](907__SEASONING_DISTRIBUTION'!$A$2:$D$11,4,0)</f>
        <v>0</v>
      </c>
      <c r="AO169" s="79">
        <v>0.11988284660697254</v>
      </c>
      <c r="AP169" s="113">
        <v>38734868.869999997</v>
      </c>
    </row>
    <row r="170" spans="1:42">
      <c r="A170" s="72" t="s">
        <v>103</v>
      </c>
      <c r="B170" s="1" t="s">
        <v>103</v>
      </c>
      <c r="E170" s="79">
        <f t="shared" si="51"/>
        <v>0</v>
      </c>
      <c r="F170" s="113">
        <f>IFERROR(VLOOKUP($A170,[34]Seasoning!$A$2:$C$7,3,FALSE),0)</f>
        <v>0</v>
      </c>
      <c r="I170" s="79">
        <v>0</v>
      </c>
      <c r="J170" s="113">
        <v>0</v>
      </c>
      <c r="M170" s="79">
        <v>0</v>
      </c>
      <c r="N170" s="113">
        <v>0</v>
      </c>
      <c r="Q170" s="79">
        <v>0</v>
      </c>
      <c r="R170" s="113">
        <v>0</v>
      </c>
      <c r="U170" s="79">
        <f t="shared" si="52"/>
        <v>0</v>
      </c>
      <c r="V170" s="113">
        <f>IFERROR(VLOOKUP($A170,'[35]Seasoning Distribution'!$A$2:$C$9,4,FALSE),0)</f>
        <v>0</v>
      </c>
      <c r="Y170" s="79">
        <f t="shared" si="53"/>
        <v>0</v>
      </c>
      <c r="Z170" s="113">
        <v>0</v>
      </c>
      <c r="AC170" s="79">
        <f t="shared" si="54"/>
        <v>3.0205109244152725E-5</v>
      </c>
      <c r="AD170" s="113">
        <f>IFERROR(VLOOKUP($B170,'[37](907__SEASONING_DISTRIBUTION'!$A$2:$D$11,4,FALSE),0)</f>
        <v>7038.51</v>
      </c>
      <c r="AG170" s="79">
        <f t="shared" si="55"/>
        <v>0.1255506227083488</v>
      </c>
      <c r="AH170" s="113">
        <f>IFERROR(VLOOKUP($B170,'[38](907__SEASONING_DISTRIBUTION'!$A$1:$D$11,4,FALSE),0)</f>
        <v>31813076.920000002</v>
      </c>
      <c r="AK170" s="79">
        <f t="shared" ref="AK170:AK179" si="56">AL170/$AL$180</f>
        <v>0.29435326344925294</v>
      </c>
      <c r="AL170" s="113">
        <f>VLOOKUP(B170,'[39](907__SEASONING_DISTRIBUTION'!$A$2:$D$11,4,0)</f>
        <v>85209726.189999893</v>
      </c>
      <c r="AO170" s="79">
        <v>0.30181695339052989</v>
      </c>
      <c r="AP170" s="113">
        <v>97518873.159999862</v>
      </c>
    </row>
    <row r="171" spans="1:42">
      <c r="A171" s="72" t="s">
        <v>104</v>
      </c>
      <c r="B171" s="1" t="s">
        <v>104</v>
      </c>
      <c r="E171" s="79">
        <f t="shared" si="51"/>
        <v>0</v>
      </c>
      <c r="F171" s="113">
        <f>IFERROR(VLOOKUP($A171,[34]Seasoning!$A$2:$C$7,3,FALSE),0)</f>
        <v>0</v>
      </c>
      <c r="I171" s="79">
        <v>0</v>
      </c>
      <c r="J171" s="113">
        <v>0</v>
      </c>
      <c r="M171" s="79">
        <v>0</v>
      </c>
      <c r="N171" s="113">
        <v>0</v>
      </c>
      <c r="Q171" s="79">
        <v>0</v>
      </c>
      <c r="R171" s="113">
        <v>0</v>
      </c>
      <c r="U171" s="79">
        <f t="shared" si="52"/>
        <v>0</v>
      </c>
      <c r="V171" s="113">
        <f>IFERROR(VLOOKUP($A171,'[35]Seasoning Distribution'!$A$2:$C$9,4,FALSE),0)</f>
        <v>0</v>
      </c>
      <c r="Y171" s="79">
        <f t="shared" si="53"/>
        <v>6.2427528306366852E-2</v>
      </c>
      <c r="Z171" s="113">
        <f>IFERROR(VLOOKUP($A171,[29]Seasoning!$A$5:$B$13,2,FALSE),0)</f>
        <v>13329309.610000005</v>
      </c>
      <c r="AC171" s="79">
        <f t="shared" si="54"/>
        <v>0.29313315477247637</v>
      </c>
      <c r="AD171" s="113">
        <f>IFERROR(VLOOKUP($B171,'[37](907__SEASONING_DISTRIBUTION'!$A$2:$D$11,4,FALSE),0)</f>
        <v>68307008.079999998</v>
      </c>
      <c r="AG171" s="79">
        <f t="shared" si="55"/>
        <v>0.30515169037252421</v>
      </c>
      <c r="AH171" s="113">
        <f>IFERROR(VLOOKUP($B171,'[38](907__SEASONING_DISTRIBUTION'!$A$1:$D$11,4,FALSE),0)</f>
        <v>77321911.980000004</v>
      </c>
      <c r="AK171" s="79">
        <f t="shared" si="56"/>
        <v>0.35786575694103545</v>
      </c>
      <c r="AL171" s="113">
        <f>VLOOKUP(B171,'[39](907__SEASONING_DISTRIBUTION'!$A$2:$D$11,4,0)</f>
        <v>103595396.92</v>
      </c>
      <c r="AO171" s="79">
        <v>0.35474794715157365</v>
      </c>
      <c r="AP171" s="113">
        <v>114621195.63999987</v>
      </c>
    </row>
    <row r="172" spans="1:42">
      <c r="A172" s="72" t="s">
        <v>105</v>
      </c>
      <c r="B172" s="1" t="s">
        <v>105</v>
      </c>
      <c r="E172" s="79">
        <f t="shared" si="51"/>
        <v>0</v>
      </c>
      <c r="F172" s="113">
        <f>IFERROR(VLOOKUP($A172,[34]Seasoning!$A$2:$C$7,3,FALSE),0)</f>
        <v>0</v>
      </c>
      <c r="I172" s="79">
        <v>0</v>
      </c>
      <c r="J172" s="113">
        <v>0</v>
      </c>
      <c r="M172" s="79">
        <v>0</v>
      </c>
      <c r="N172" s="113">
        <v>0</v>
      </c>
      <c r="Q172" s="79">
        <v>7.1258955056276413E-2</v>
      </c>
      <c r="R172" s="113">
        <v>11003730.930000005</v>
      </c>
      <c r="U172" s="79">
        <f t="shared" si="52"/>
        <v>0.31820692061777589</v>
      </c>
      <c r="V172" s="113">
        <f>IFERROR(VLOOKUP($A172,'[35]Seasoning Distribution'!$A$2:$C$9,3,FALSE),0)</f>
        <v>58805576.039999977</v>
      </c>
      <c r="Y172" s="79">
        <f t="shared" si="53"/>
        <v>0.32164992543155552</v>
      </c>
      <c r="Z172" s="113">
        <f>IFERROR(VLOOKUP($A172,[29]Seasoning!$A$5:$B$13,2,FALSE),0)</f>
        <v>68677577.960000023</v>
      </c>
      <c r="AC172" s="79">
        <f t="shared" si="54"/>
        <v>0.3724678903000741</v>
      </c>
      <c r="AD172" s="113">
        <f>IFERROR(VLOOKUP($B172,'[37](907__SEASONING_DISTRIBUTION'!$A$2:$D$11,4,FALSE),0)</f>
        <v>86793891.370000005</v>
      </c>
      <c r="AG172" s="79">
        <f t="shared" si="55"/>
        <v>0.36422919548288701</v>
      </c>
      <c r="AH172" s="113">
        <f>IFERROR(VLOOKUP($B172,'[38](907__SEASONING_DISTRIBUTION'!$A$1:$D$11,4,FALSE),0)</f>
        <v>92291469.069999903</v>
      </c>
      <c r="AK172" s="79">
        <f t="shared" si="56"/>
        <v>0.23630265377127049</v>
      </c>
      <c r="AL172" s="113">
        <f>VLOOKUP(B172,'[39](907__SEASONING_DISTRIBUTION'!$A$2:$D$11,4,0)</f>
        <v>68405167.960000098</v>
      </c>
      <c r="AO172" s="79">
        <v>0.12402196054070187</v>
      </c>
      <c r="AP172" s="113">
        <v>40072241.479999989</v>
      </c>
    </row>
    <row r="173" spans="1:42">
      <c r="A173" s="72" t="s">
        <v>106</v>
      </c>
      <c r="B173" s="1" t="s">
        <v>106</v>
      </c>
      <c r="E173" s="79">
        <f t="shared" si="51"/>
        <v>0</v>
      </c>
      <c r="F173" s="113">
        <f>IFERROR(VLOOKUP($A173,[34]Seasoning!$A$2:$C$7,3,FALSE),0)</f>
        <v>0</v>
      </c>
      <c r="I173" s="79">
        <v>6.9140927095785246E-2</v>
      </c>
      <c r="J173" s="113">
        <v>8463894.4400000051</v>
      </c>
      <c r="M173" s="79">
        <v>0.28951673304212228</v>
      </c>
      <c r="N173" s="113">
        <v>39794251.530000046</v>
      </c>
      <c r="Q173" s="79">
        <v>0.33249293387918338</v>
      </c>
      <c r="R173" s="113">
        <v>51343199.989999935</v>
      </c>
      <c r="U173" s="79">
        <f t="shared" si="52"/>
        <v>0.35920262472427622</v>
      </c>
      <c r="V173" s="113">
        <f>IFERROR(VLOOKUP($A173,'[35]Seasoning Distribution'!$A$2:$C$9,3,FALSE),0)</f>
        <v>66381702.889999956</v>
      </c>
      <c r="Y173" s="79">
        <f t="shared" si="53"/>
        <v>0.38933799406786407</v>
      </c>
      <c r="Z173" s="113">
        <f>IFERROR(VLOOKUP($A173,[29]Seasoning!$A$5:$B$13,2,FALSE),0)</f>
        <v>83130099.920000002</v>
      </c>
      <c r="AC173" s="79">
        <f t="shared" si="54"/>
        <v>0.22887069520299944</v>
      </c>
      <c r="AD173" s="113">
        <f>IFERROR(VLOOKUP($B173,'[37](907__SEASONING_DISTRIBUTION'!$A$2:$D$11,4,FALSE),0)</f>
        <v>53332324.140000001</v>
      </c>
      <c r="AG173" s="79">
        <f t="shared" si="55"/>
        <v>0.11796606261419308</v>
      </c>
      <c r="AH173" s="113">
        <f>IFERROR(VLOOKUP($B173,'[38](907__SEASONING_DISTRIBUTION'!$A$1:$D$11,4,FALSE),0)</f>
        <v>29891237.039999999</v>
      </c>
      <c r="AK173" s="79">
        <f t="shared" si="56"/>
        <v>5.7152559339282379E-2</v>
      </c>
      <c r="AL173" s="113">
        <f>VLOOKUP(B173,'[39](907__SEASONING_DISTRIBUTION'!$A$2:$D$11,4,0)</f>
        <v>16544589.57</v>
      </c>
      <c r="AO173" s="79">
        <v>5.4232628240394189E-2</v>
      </c>
      <c r="AP173" s="113">
        <v>17522888.410000004</v>
      </c>
    </row>
    <row r="174" spans="1:42">
      <c r="A174" s="72" t="s">
        <v>107</v>
      </c>
      <c r="B174" s="1" t="s">
        <v>107</v>
      </c>
      <c r="E174" s="79">
        <f t="shared" si="51"/>
        <v>0.3254439245759454</v>
      </c>
      <c r="F174" s="113">
        <f>IFERROR(VLOOKUP($A174,[34]Seasoning!$A$2:$C$7,3,FALSE),0)</f>
        <v>32210129.249999981</v>
      </c>
      <c r="I174" s="79">
        <v>0.34984051025288471</v>
      </c>
      <c r="J174" s="113">
        <v>42825765.780000016</v>
      </c>
      <c r="M174" s="79">
        <v>0.38223144424055638</v>
      </c>
      <c r="N174" s="113">
        <v>52537945.130000032</v>
      </c>
      <c r="Q174" s="79">
        <v>0.39958787148808256</v>
      </c>
      <c r="R174" s="113">
        <v>61703927.839999981</v>
      </c>
      <c r="U174" s="79">
        <f t="shared" si="52"/>
        <v>0.22848051656781992</v>
      </c>
      <c r="V174" s="113">
        <f>IFERROR(VLOOKUP($A174,'[35]Seasoning Distribution'!$A$2:$C$9,3,FALSE),0)</f>
        <v>42223872.329999983</v>
      </c>
      <c r="Y174" s="79">
        <f t="shared" si="53"/>
        <v>0.14521365284395921</v>
      </c>
      <c r="Z174" s="113">
        <f>IFERROR(VLOOKUP($A174,[29]Seasoning!$A$5:$B$13,2,FALSE),0)</f>
        <v>31005516.169999998</v>
      </c>
      <c r="AC174" s="79">
        <f t="shared" si="54"/>
        <v>6.1953113145659412E-2</v>
      </c>
      <c r="AD174" s="113">
        <f>IFERROR(VLOOKUP($B174,'[37](907__SEASONING_DISTRIBUTION'!$A$2:$D$11,4,FALSE),0)</f>
        <v>14436551.210000001</v>
      </c>
      <c r="AG174" s="79">
        <f t="shared" si="55"/>
        <v>5.461681072131102E-2</v>
      </c>
      <c r="AH174" s="113">
        <f>IFERROR(VLOOKUP($B174,'[38](907__SEASONING_DISTRIBUTION'!$A$1:$D$11,4,FALSE),0)</f>
        <v>13839268.68</v>
      </c>
      <c r="AK174" s="79">
        <f t="shared" si="56"/>
        <v>2.0360686474740021E-2</v>
      </c>
      <c r="AL174" s="113">
        <f>VLOOKUP(B174,'[39](907__SEASONING_DISTRIBUTION'!$A$2:$D$11,4,0)</f>
        <v>5894035.2800000003</v>
      </c>
      <c r="AO174" s="79">
        <v>8.7759885168563149E-3</v>
      </c>
      <c r="AP174" s="113">
        <v>2835574.6799999988</v>
      </c>
    </row>
    <row r="175" spans="1:42">
      <c r="A175" s="72" t="s">
        <v>108</v>
      </c>
      <c r="B175" s="1" t="s">
        <v>108</v>
      </c>
      <c r="E175" s="79">
        <f t="shared" si="51"/>
        <v>0.36979164406578341</v>
      </c>
      <c r="F175" s="113">
        <f>IFERROR(VLOOKUP($A175,[34]Seasoning!$A$2:$C$7,3,FALSE),0)</f>
        <v>36599351.690000035</v>
      </c>
      <c r="I175" s="79">
        <v>0.3968559381198819</v>
      </c>
      <c r="J175" s="113">
        <v>48581164.720000006</v>
      </c>
      <c r="M175" s="79">
        <v>0.23759490260636479</v>
      </c>
      <c r="N175" s="113">
        <v>32657564.270000007</v>
      </c>
      <c r="Q175" s="79">
        <v>0.13730817042292662</v>
      </c>
      <c r="R175" s="113">
        <v>21202979.479999982</v>
      </c>
      <c r="U175" s="79">
        <f t="shared" si="52"/>
        <v>5.9443219380423296E-2</v>
      </c>
      <c r="V175" s="113">
        <f>IFERROR(VLOOKUP($A175,'[35]Seasoning Distribution'!$A$2:$C$9,3,FALSE),0)</f>
        <v>10985282</v>
      </c>
      <c r="Y175" s="79">
        <f t="shared" si="53"/>
        <v>5.1812307537459495E-2</v>
      </c>
      <c r="Z175" s="113">
        <f>IFERROR(VLOOKUP($A175,[29]Seasoning!$A$5:$B$13,2,FALSE),0)</f>
        <v>11062784.439999996</v>
      </c>
      <c r="AC175" s="79">
        <f t="shared" si="54"/>
        <v>1.8056245253757788E-2</v>
      </c>
      <c r="AD175" s="113">
        <f>IFERROR(VLOOKUP($B175,'[37](907__SEASONING_DISTRIBUTION'!$A$2:$D$11,4,FALSE),0)</f>
        <v>4207535.28</v>
      </c>
      <c r="AG175" s="79">
        <f t="shared" si="55"/>
        <v>7.0079266544243587E-3</v>
      </c>
      <c r="AH175" s="113">
        <f>IFERROR(VLOOKUP($B175,'[38](907__SEASONING_DISTRIBUTION'!$A$1:$D$11,4,FALSE),0)</f>
        <v>1775727.63</v>
      </c>
      <c r="AK175" s="79">
        <f t="shared" si="56"/>
        <v>7.9999314796184839E-3</v>
      </c>
      <c r="AL175" s="113">
        <f>VLOOKUP(B175,'[39](907__SEASONING_DISTRIBUTION'!$A$2:$D$11,4,0)</f>
        <v>2315829.5</v>
      </c>
      <c r="AO175" s="79">
        <v>7.481353721488582E-3</v>
      </c>
      <c r="AP175" s="113">
        <v>2417270.39</v>
      </c>
    </row>
    <row r="176" spans="1:42">
      <c r="A176" s="72" t="s">
        <v>109</v>
      </c>
      <c r="B176" s="1" t="s">
        <v>109</v>
      </c>
      <c r="E176" s="79">
        <f t="shared" si="51"/>
        <v>0.22922781070158471</v>
      </c>
      <c r="F176" s="113">
        <f>IFERROR(VLOOKUP($A176,[34]Seasoning!$A$2:$C$7,3,FALSE),0)</f>
        <v>22687341.360000018</v>
      </c>
      <c r="I176" s="79">
        <v>0.13418366324493483</v>
      </c>
      <c r="J176" s="113">
        <v>16426108.369999988</v>
      </c>
      <c r="M176" s="79">
        <v>6.2526917027708781E-2</v>
      </c>
      <c r="N176" s="113">
        <v>8594362.8800000027</v>
      </c>
      <c r="Q176" s="79">
        <v>4.3773261329367666E-2</v>
      </c>
      <c r="R176" s="113">
        <v>6759419.7699999986</v>
      </c>
      <c r="U176" s="79">
        <f t="shared" si="52"/>
        <v>1.9107785217239014E-2</v>
      </c>
      <c r="V176" s="113">
        <f>IFERROR(VLOOKUP($A176,'[35]Seasoning Distribution'!$A$2:$C$9,3,FALSE),0)</f>
        <v>3531174.98</v>
      </c>
      <c r="Y176" s="79">
        <f t="shared" si="53"/>
        <v>1.001198697602102E-2</v>
      </c>
      <c r="Z176" s="113">
        <f>IFERROR(VLOOKUP($A176,[29]Seasoning!$A$5:$B$13,2,FALSE),0)</f>
        <v>2137724.7800000003</v>
      </c>
      <c r="AC176" s="79">
        <f t="shared" si="54"/>
        <v>7.9324489407782521E-3</v>
      </c>
      <c r="AD176" s="113">
        <f>IFERROR(VLOOKUP($B176,'[37](907__SEASONING_DISTRIBUTION'!$A$2:$D$11,4,FALSE),0)</f>
        <v>1848449.57</v>
      </c>
      <c r="AG176" s="79">
        <f t="shared" si="55"/>
        <v>6.8049373262359389E-3</v>
      </c>
      <c r="AH176" s="113">
        <f>IFERROR(VLOOKUP($B176,'[38](907__SEASONING_DISTRIBUTION'!$A$1:$D$11,4,FALSE),0)</f>
        <v>1724292.48</v>
      </c>
      <c r="AK176" s="79">
        <f t="shared" si="56"/>
        <v>5.28422116808289E-3</v>
      </c>
      <c r="AL176" s="113">
        <f>VLOOKUP(B176,'[39](907__SEASONING_DISTRIBUTION'!$A$2:$D$11,4,0)</f>
        <v>1529682.51</v>
      </c>
      <c r="AO176" s="79">
        <v>1.115653621197068E-2</v>
      </c>
      <c r="AP176" s="113">
        <v>3604743.9600000004</v>
      </c>
    </row>
    <row r="177" spans="1:42">
      <c r="A177" s="72" t="s">
        <v>110</v>
      </c>
      <c r="B177" s="1" t="s">
        <v>110</v>
      </c>
      <c r="E177" s="79">
        <f t="shared" si="51"/>
        <v>5.4984249003636042E-2</v>
      </c>
      <c r="F177" s="113">
        <f>IFERROR(VLOOKUP($A177,[34]Seasoning!$A$2:$C$7,3,FALSE),0)</f>
        <v>5441950.620000001</v>
      </c>
      <c r="I177" s="79">
        <v>3.8880163753910929E-2</v>
      </c>
      <c r="J177" s="113">
        <v>4759519.6599999983</v>
      </c>
      <c r="M177" s="79">
        <v>2.0348166459488948E-2</v>
      </c>
      <c r="N177" s="113">
        <v>2796867.8899999992</v>
      </c>
      <c r="Q177" s="79">
        <v>8.155708084805962E-3</v>
      </c>
      <c r="R177" s="113">
        <v>1259395.6400000001</v>
      </c>
      <c r="U177" s="79">
        <f t="shared" si="52"/>
        <v>6.5482840665577521E-3</v>
      </c>
      <c r="V177" s="113">
        <f>IFERROR(VLOOKUP($A177,'[35]Seasoning Distribution'!$A$2:$C$9,3,FALSE),0)</f>
        <v>1210142.1799999997</v>
      </c>
      <c r="Y177" s="79">
        <f t="shared" si="53"/>
        <v>5.0952853542787493E-3</v>
      </c>
      <c r="Z177" s="113">
        <f>IFERROR(VLOOKUP($A177,[29]Seasoning!$A$5:$B$13,2,FALSE),0)</f>
        <v>1087927.68</v>
      </c>
      <c r="AC177" s="79">
        <f t="shared" si="54"/>
        <v>3.5902004903172512E-3</v>
      </c>
      <c r="AD177" s="113">
        <f>IFERROR(VLOOKUP($B177,'[37](907__SEASONING_DISTRIBUTION'!$A$2:$D$11,4,FALSE),0)</f>
        <v>836602.24</v>
      </c>
      <c r="AG177" s="79">
        <f t="shared" si="55"/>
        <v>8.4705737044675662E-3</v>
      </c>
      <c r="AH177" s="113">
        <f>IFERROR(VLOOKUP($B177,'[38](907__SEASONING_DISTRIBUTION'!$A$1:$D$11,4,FALSE),0)</f>
        <v>2146345.4900000002</v>
      </c>
      <c r="AK177" s="79">
        <f t="shared" si="56"/>
        <v>1.152726747478596E-2</v>
      </c>
      <c r="AL177" s="113">
        <f>VLOOKUP(B177,'[39](907__SEASONING_DISTRIBUTION'!$A$2:$D$11,4,0)</f>
        <v>3336926.84</v>
      </c>
      <c r="AO177" s="79">
        <v>9.3366554850394991E-3</v>
      </c>
      <c r="AP177" s="113">
        <v>3016729.5499999993</v>
      </c>
    </row>
    <row r="178" spans="1:42">
      <c r="A178" s="72" t="s">
        <v>111</v>
      </c>
      <c r="B178" s="1" t="s">
        <v>111</v>
      </c>
      <c r="E178" s="79">
        <f t="shared" si="51"/>
        <v>1.8606004632171384E-2</v>
      </c>
      <c r="F178" s="113">
        <f>IFERROR(VLOOKUP($A178,[34]Seasoning!$A$2:$C$7,3,FALSE),0)</f>
        <v>1841490.2499999993</v>
      </c>
      <c r="I178" s="79">
        <v>7.9568293645481507E-3</v>
      </c>
      <c r="J178" s="113">
        <v>974036.16999999981</v>
      </c>
      <c r="M178" s="79">
        <v>5.135416936781113E-3</v>
      </c>
      <c r="N178" s="113">
        <v>705866.19</v>
      </c>
      <c r="Q178" s="79">
        <v>4.2194267842723017E-3</v>
      </c>
      <c r="R178" s="113">
        <v>651559.33000000031</v>
      </c>
      <c r="U178" s="79">
        <f t="shared" si="52"/>
        <v>2.9637911889819389E-3</v>
      </c>
      <c r="V178" s="113">
        <f>IFERROR(VLOOKUP($A178,'[35]Seasoning Distribution'!$A$2:$C$9,3,FALSE),0)</f>
        <v>547717.34</v>
      </c>
      <c r="Y178" s="79">
        <f t="shared" si="53"/>
        <v>6.8099918423442452E-3</v>
      </c>
      <c r="Z178" s="113">
        <f>IFERROR(VLOOKUP($A178,[29]Seasoning!$A$5:$B$13,2,FALSE),0)</f>
        <v>1454045.8699999994</v>
      </c>
      <c r="AC178" s="79">
        <f t="shared" si="54"/>
        <v>1.396604678469311E-2</v>
      </c>
      <c r="AD178" s="113">
        <f>IFERROR(VLOOKUP($B178,'[37](907__SEASONING_DISTRIBUTION'!$A$2:$D$11,4,FALSE),0)</f>
        <v>3254421.6</v>
      </c>
      <c r="AG178" s="79">
        <f t="shared" si="55"/>
        <v>1.0202180415608051E-2</v>
      </c>
      <c r="AH178" s="113">
        <f>IFERROR(VLOOKUP($B178,'[38](907__SEASONING_DISTRIBUTION'!$A$1:$D$11,4,FALSE),0)</f>
        <v>2585114.62</v>
      </c>
      <c r="AK178" s="79">
        <f t="shared" si="56"/>
        <v>9.1536599019316992E-3</v>
      </c>
      <c r="AL178" s="113">
        <f>VLOOKUP(B178,'[39](907__SEASONING_DISTRIBUTION'!$A$2:$D$11,4,0)</f>
        <v>2649812.15</v>
      </c>
      <c r="AO178" s="79">
        <v>8.5471301344726257E-3</v>
      </c>
      <c r="AP178" s="113">
        <v>2761629.1600000011</v>
      </c>
    </row>
    <row r="179" spans="1:42" ht="13.5" thickBot="1">
      <c r="A179" s="48" t="s">
        <v>281</v>
      </c>
      <c r="B179" s="1" t="s">
        <v>158</v>
      </c>
      <c r="E179" s="79">
        <f t="shared" si="51"/>
        <v>1.946367020879059E-3</v>
      </c>
      <c r="F179" s="113">
        <f>IFERROR(VLOOKUP($A179,[34]Seasoning!$A$2:$C$7,3,FALSE),0)</f>
        <v>192637.59000000003</v>
      </c>
      <c r="I179" s="79">
        <v>3.1419681680541914E-3</v>
      </c>
      <c r="J179" s="113">
        <v>384624.39</v>
      </c>
      <c r="M179" s="79">
        <v>2.6464196869777868E-3</v>
      </c>
      <c r="N179" s="113">
        <v>363751.99999999988</v>
      </c>
      <c r="Q179" s="79">
        <v>3.2036729550849676E-3</v>
      </c>
      <c r="R179" s="113">
        <v>494707.72000000003</v>
      </c>
      <c r="U179" s="79">
        <f t="shared" si="52"/>
        <v>6.0468582369258578E-3</v>
      </c>
      <c r="V179" s="113">
        <f>IFERROR(VLOOKUP($A179,'[35]Seasoning Distribution'!$A$2:$C$9,3,FALSE),0)</f>
        <v>1117477.2100000002</v>
      </c>
      <c r="Y179" s="79">
        <f t="shared" si="53"/>
        <v>7.641327640150933E-3</v>
      </c>
      <c r="Z179" s="113">
        <f>IFERROR(VLOOKUP($A179,[29]Seasoning!$A$5:$B$13,2,FALSE),0)</f>
        <v>1631549.8100000005</v>
      </c>
      <c r="AC179" s="79">
        <f t="shared" si="54"/>
        <v>0</v>
      </c>
      <c r="AD179" s="113">
        <f>IFERROR(VLOOKUP($B179,'[38](907__SEASONING_DISTRIBUTION'!$A$1:$D$11,4,FALSE),0)</f>
        <v>0</v>
      </c>
      <c r="AG179" s="79">
        <f t="shared" si="55"/>
        <v>0</v>
      </c>
      <c r="AH179" s="113">
        <f>IFERROR(VLOOKUP($B179,'[38](907__SEASONING_DISTRIBUTION'!$A$1:$D$11,4,FALSE),0)</f>
        <v>0</v>
      </c>
      <c r="AK179" s="79">
        <f t="shared" si="56"/>
        <v>0</v>
      </c>
      <c r="AL179" s="113">
        <v>0</v>
      </c>
      <c r="AO179" s="79">
        <v>0</v>
      </c>
      <c r="AP179" s="113">
        <v>0</v>
      </c>
    </row>
    <row r="180" spans="1:42" ht="13.5" thickBot="1">
      <c r="A180" s="48" t="s">
        <v>158</v>
      </c>
      <c r="B180" s="3" t="s">
        <v>46</v>
      </c>
      <c r="C180" s="55"/>
      <c r="D180" s="55"/>
      <c r="E180" s="135">
        <f>SUM(E169:E179)</f>
        <v>1.0000000000000002</v>
      </c>
      <c r="F180" s="141">
        <f>SUM(F169:F179)</f>
        <v>98972900.760000035</v>
      </c>
      <c r="H180" s="55"/>
      <c r="I180" s="135">
        <v>0.99999999999999989</v>
      </c>
      <c r="J180" s="141">
        <v>122415113.53000002</v>
      </c>
      <c r="L180" s="55"/>
      <c r="M180" s="135">
        <v>0.99999999999999989</v>
      </c>
      <c r="N180" s="141">
        <v>137450609.89000008</v>
      </c>
      <c r="P180" s="55"/>
      <c r="Q180" s="135">
        <v>0.99999999999999989</v>
      </c>
      <c r="R180" s="120">
        <v>154418920.69999993</v>
      </c>
      <c r="T180" s="55"/>
      <c r="U180" s="135">
        <f>SUM(U169:U179)</f>
        <v>0.99999999999999978</v>
      </c>
      <c r="V180" s="120">
        <f>SUM(V169:V179)</f>
        <v>184802944.96999994</v>
      </c>
      <c r="X180" s="55"/>
      <c r="Y180" s="135">
        <f>SUM(Y169:Y179)</f>
        <v>0.99999999999999989</v>
      </c>
      <c r="Z180" s="120">
        <f>SUM(Z169:Z179)</f>
        <v>213516536.24000001</v>
      </c>
      <c r="AB180" s="55"/>
      <c r="AC180" s="135">
        <f>SUM(AC169:AC179)</f>
        <v>1</v>
      </c>
      <c r="AD180" s="120">
        <f>SUM(AD169:AD179)</f>
        <v>233023822.00000003</v>
      </c>
      <c r="AF180" s="55"/>
      <c r="AG180" s="135">
        <f>SUM(AG169:AG179)</f>
        <v>1</v>
      </c>
      <c r="AH180" s="120">
        <f>SUM(AH169:AH179)</f>
        <v>253388443.90999991</v>
      </c>
      <c r="AK180" s="135">
        <f>SUM(AK169:AK179)</f>
        <v>1.0000000000000004</v>
      </c>
      <c r="AL180" s="120">
        <f>SUM(AL169:AL179)</f>
        <v>289481166.9199999</v>
      </c>
      <c r="AO180" s="135">
        <v>0.99999999999999989</v>
      </c>
      <c r="AP180" s="120">
        <v>323106015.29999977</v>
      </c>
    </row>
    <row r="181" spans="1:42">
      <c r="A181" s="84"/>
    </row>
    <row r="182" spans="1:42">
      <c r="A182" s="84"/>
      <c r="B182" s="1" t="s">
        <v>176</v>
      </c>
      <c r="E182" s="85"/>
      <c r="F182" s="113"/>
    </row>
    <row r="183" spans="1:42">
      <c r="A183" s="124" t="s">
        <v>282</v>
      </c>
      <c r="B183" s="1" t="s">
        <v>219</v>
      </c>
      <c r="E183" s="85">
        <f t="shared" ref="E183:E188" si="57">F183/F$189</f>
        <v>0.22201632751255757</v>
      </c>
      <c r="F183" s="113">
        <f>IFERROR(VLOOKUP($A183,'[34]remaining term'!$A$2:$C$4,3,FALSE),0)</f>
        <v>21973599.950000018</v>
      </c>
      <c r="I183" s="77">
        <v>0.11567693409465893</v>
      </c>
      <c r="J183" s="113">
        <v>14160605.020000007</v>
      </c>
      <c r="M183" s="77">
        <v>9.5672526011517781E-2</v>
      </c>
      <c r="N183" s="113">
        <v>13150247.050000016</v>
      </c>
      <c r="Q183" s="77">
        <v>8.2109527721883693E-2</v>
      </c>
      <c r="R183" s="113">
        <v>12679264.650000006</v>
      </c>
      <c r="U183" s="77">
        <f t="shared" ref="U183:U188" si="58">V183/V$189</f>
        <v>6.2287221569269968E-2</v>
      </c>
      <c r="V183" s="113">
        <f>IFERROR(VLOOKUP($A183,'[28]Remaining Term'!$A$4:$B$7,2,FALSE),0)</f>
        <v>11510861.979999989</v>
      </c>
      <c r="Y183" s="77">
        <f t="shared" ref="Y183:Y188" si="59">Z183/Z$189</f>
        <v>5.3235901584799933E-2</v>
      </c>
      <c r="Z183" s="113">
        <f>IFERROR(VLOOKUP($A183,'[29]Remaining Term'!$A$4:$B$7,2,FALSE),0)</f>
        <v>11366745.310000004</v>
      </c>
      <c r="AC183" s="77">
        <f t="shared" ref="AC183:AC188" si="60">AD183/AD$189</f>
        <v>5.577154871316118E-2</v>
      </c>
      <c r="AD183" s="113">
        <f>IFERROR(VLOOKUP($B183,'[37](917__Remaining_Term'!$A$2:$B$5,2,FALSE),0)</f>
        <v>12996099.439999999</v>
      </c>
      <c r="AG183" s="77">
        <f t="shared" ref="AG183:AG188" si="61">AH183/AH$189</f>
        <v>6.4772138605616494E-2</v>
      </c>
      <c r="AH183" s="113">
        <f>IFERROR(VLOOKUP($B183,'[38](917__Remaining_Term'!$A$1:$B$6,2,FALSE),0)</f>
        <v>16412511.41</v>
      </c>
      <c r="AK183" s="77">
        <f>AL183/$AL$189</f>
        <v>5.5018964202260247E-2</v>
      </c>
      <c r="AL183" s="102">
        <f>VLOOKUP(B183,'[39](917__Remaining_Term'!$A$2:$B$6,2,0)</f>
        <v>15926953.960000001</v>
      </c>
      <c r="AO183" s="77">
        <v>0.4216997999975024</v>
      </c>
      <c r="AP183" s="102">
        <v>136253742.03</v>
      </c>
    </row>
    <row r="184" spans="1:42">
      <c r="A184" s="124" t="s">
        <v>283</v>
      </c>
      <c r="B184" s="1" t="s">
        <v>220</v>
      </c>
      <c r="E184" s="85">
        <f t="shared" si="57"/>
        <v>0.57063939357454463</v>
      </c>
      <c r="F184" s="113">
        <f>IFERROR(VLOOKUP($A184,'[34]remaining term'!$A$2:$C$4,3,FALSE),0)</f>
        <v>56477836.069999985</v>
      </c>
      <c r="I184" s="77">
        <v>0.54427315867065529</v>
      </c>
      <c r="J184" s="113">
        <v>66627260.510000005</v>
      </c>
      <c r="M184" s="77">
        <v>0.4616555754884033</v>
      </c>
      <c r="N184" s="113">
        <v>63454840.410000004</v>
      </c>
      <c r="Q184" s="77">
        <v>0.40186460906924337</v>
      </c>
      <c r="R184" s="113">
        <v>62055499.199999973</v>
      </c>
      <c r="U184" s="77">
        <f t="shared" si="58"/>
        <v>0.25154429545236057</v>
      </c>
      <c r="V184" s="113">
        <f>IFERROR(VLOOKUP($A184,'[28]Remaining Term'!$A$4:$B$7,2,FALSE),0)</f>
        <v>46486126.589999989</v>
      </c>
      <c r="Y184" s="77">
        <f t="shared" si="59"/>
        <v>0.14087948989669311</v>
      </c>
      <c r="Z184" s="113">
        <f>IFERROR(VLOOKUP($A184,'[29]Remaining Term'!$A$4:$B$7,2,FALSE),0)</f>
        <v>30080100.709999979</v>
      </c>
      <c r="AC184" s="77">
        <f t="shared" si="60"/>
        <v>0.12395581727262203</v>
      </c>
      <c r="AD184" s="113">
        <f>IFERROR(VLOOKUP($B184,'[37](917__Remaining_Term'!$A$2:$B$5,2,FALSE),0)</f>
        <v>28884658.300000001</v>
      </c>
      <c r="AG184" s="77">
        <f t="shared" si="61"/>
        <v>0.11627742708134302</v>
      </c>
      <c r="AH184" s="113">
        <f>IFERROR(VLOOKUP($B184,'[38](917__Remaining_Term'!$A$1:$B$6,2,FALSE),0)</f>
        <v>29463356.309999999</v>
      </c>
      <c r="AK184" s="77">
        <f t="shared" ref="AK184:AK188" si="62">AL184/$AL$189</f>
        <v>9.6219487527827899E-2</v>
      </c>
      <c r="AL184" s="102">
        <f>VLOOKUP(B184,'[39](917__Remaining_Term'!$A$2:$B$6,2,0)</f>
        <v>27853729.530000001</v>
      </c>
      <c r="AO184" s="77">
        <v>0.47876990769227562</v>
      </c>
      <c r="AP184" s="102">
        <v>154693437.12000006</v>
      </c>
    </row>
    <row r="185" spans="1:42">
      <c r="A185" s="124" t="s">
        <v>284</v>
      </c>
      <c r="B185" s="1" t="s">
        <v>221</v>
      </c>
      <c r="E185" s="85">
        <f t="shared" si="57"/>
        <v>0.20734427891289783</v>
      </c>
      <c r="F185" s="113">
        <f>IFERROR(VLOOKUP($A185,'[34]remaining term'!$A$2:$C$4,3,FALSE),0)</f>
        <v>20521464.739999998</v>
      </c>
      <c r="I185" s="77">
        <v>0.34004990723468576</v>
      </c>
      <c r="J185" s="113">
        <v>41627248.000000045</v>
      </c>
      <c r="M185" s="77">
        <v>0.44267189850007893</v>
      </c>
      <c r="N185" s="113">
        <v>60845522.430000059</v>
      </c>
      <c r="Q185" s="77">
        <v>0.48619560115860849</v>
      </c>
      <c r="R185" s="113">
        <v>75077799.979999974</v>
      </c>
      <c r="U185" s="77">
        <f t="shared" si="58"/>
        <v>0.51688285955349078</v>
      </c>
      <c r="V185" s="113">
        <f>IFERROR(VLOOKUP($A185,'[28]Remaining Term'!$A$4:$B$7,2,FALSE),0)</f>
        <v>95521474.649999946</v>
      </c>
      <c r="Y185" s="77">
        <f t="shared" si="59"/>
        <v>0.52235422096129813</v>
      </c>
      <c r="Z185" s="113">
        <f>IFERROR(VLOOKUP($A185,'[29]Remaining Term'!$A$4:$B$7,2,FALSE),0)</f>
        <v>111531263.94999993</v>
      </c>
      <c r="AC185" s="77">
        <f t="shared" si="60"/>
        <v>0.48087237458494697</v>
      </c>
      <c r="AD185" s="113">
        <f>IFERROR(VLOOKUP($B185,'[37](917__Remaining_Term'!$A$2:$B$5,2,FALSE),0)</f>
        <v>112054718.62</v>
      </c>
      <c r="AG185" s="77">
        <f t="shared" si="61"/>
        <v>0.42106258704479688</v>
      </c>
      <c r="AH185" s="113">
        <f>IFERROR(VLOOKUP($B185,'[38](917__Remaining_Term'!$A$1:$B$6,2,FALSE),0)</f>
        <v>106692393.72</v>
      </c>
      <c r="AK185" s="77">
        <f t="shared" si="62"/>
        <v>0.31973229448663437</v>
      </c>
      <c r="AL185" s="102">
        <f>VLOOKUP(B185,'[39](917__Remaining_Term'!$A$2:$B$6,2,0)</f>
        <v>92556477.709999993</v>
      </c>
      <c r="AO185" s="77">
        <v>6.3008616757250419E-2</v>
      </c>
      <c r="AP185" s="102">
        <v>20358463.09</v>
      </c>
    </row>
    <row r="186" spans="1:42">
      <c r="A186" s="124" t="s">
        <v>285</v>
      </c>
      <c r="B186" s="1" t="s">
        <v>222</v>
      </c>
      <c r="E186" s="85">
        <f t="shared" si="57"/>
        <v>0</v>
      </c>
      <c r="F186" s="113">
        <f>IFERROR(VLOOKUP($A186,'[34]remaining term'!$A$2:$C$4,3,FALSE),0)</f>
        <v>0</v>
      </c>
      <c r="I186" s="77">
        <v>0</v>
      </c>
      <c r="J186" s="113">
        <v>0</v>
      </c>
      <c r="M186" s="77">
        <v>0</v>
      </c>
      <c r="N186" s="113">
        <v>0</v>
      </c>
      <c r="Q186" s="77">
        <v>2.9830262050264424E-2</v>
      </c>
      <c r="R186" s="113">
        <v>4606356.87</v>
      </c>
      <c r="U186" s="77">
        <f t="shared" si="58"/>
        <v>0.16928562342487871</v>
      </c>
      <c r="V186" s="113">
        <f>IFERROR(VLOOKUP($A186,'[28]Remaining Term'!$A$4:$B$7,2,FALSE),0)</f>
        <v>31284481.749999989</v>
      </c>
      <c r="Y186" s="77">
        <f t="shared" si="59"/>
        <v>0.28353038755720883</v>
      </c>
      <c r="Z186" s="113">
        <f>IFERROR(VLOOKUP($A186,'[29]Remaining Term'!$A$4:$B$7,2,FALSE),0)</f>
        <v>60538426.270000003</v>
      </c>
      <c r="AC186" s="77">
        <f t="shared" si="60"/>
        <v>0.33940025942926988</v>
      </c>
      <c r="AD186" s="113">
        <f>IFERROR(VLOOKUP($B186,'[37](917__Remaining_Term'!$A$2:$B$5,2,FALSE),0)</f>
        <v>79088345.640000001</v>
      </c>
      <c r="AG186" s="77">
        <f t="shared" si="61"/>
        <v>0.3968766430237004</v>
      </c>
      <c r="AH186" s="113">
        <f>IFERROR(VLOOKUP($B186,'[38](917__Remaining_Term'!$A$1:$B$6,2,FALSE),0)</f>
        <v>100563955</v>
      </c>
      <c r="AK186" s="77">
        <f t="shared" si="62"/>
        <v>0.43479524256852137</v>
      </c>
      <c r="AL186" s="102">
        <f>VLOOKUP(B186,'[39](917__Remaining_Term'!$A$2:$B$6,2,0)</f>
        <v>125865034.19</v>
      </c>
      <c r="AO186" s="77">
        <v>1.8637889933459242E-2</v>
      </c>
      <c r="AP186" s="102">
        <v>6022014.3500000006</v>
      </c>
    </row>
    <row r="187" spans="1:42">
      <c r="A187" s="124" t="s">
        <v>230</v>
      </c>
      <c r="B187" s="1" t="s">
        <v>230</v>
      </c>
      <c r="E187" s="85">
        <f t="shared" si="57"/>
        <v>0</v>
      </c>
      <c r="F187" s="113">
        <f>IFERROR(VLOOKUP($A187,'[34]remaining term'!$A$2:$C$4,3,FALSE),0)</f>
        <v>0</v>
      </c>
      <c r="I187" s="77">
        <v>0</v>
      </c>
      <c r="J187" s="113">
        <v>0</v>
      </c>
      <c r="M187" s="77">
        <v>0</v>
      </c>
      <c r="N187" s="113">
        <v>0</v>
      </c>
      <c r="Q187" s="77">
        <v>0</v>
      </c>
      <c r="R187" s="113">
        <v>0</v>
      </c>
      <c r="U187" s="77">
        <f t="shared" si="58"/>
        <v>0</v>
      </c>
      <c r="V187" s="113">
        <f>IFERROR(VLOOKUP($A187,'[28]Remaining Term'!$A$4:$B$7,2,FALSE),0)</f>
        <v>0</v>
      </c>
      <c r="Y187" s="77">
        <f t="shared" si="59"/>
        <v>0</v>
      </c>
      <c r="Z187" s="113">
        <f>IFERROR(VLOOKUP($B187,'[29]Remaining Term'!$A$4:$B$7,2,FALSE),0)</f>
        <v>0</v>
      </c>
      <c r="AC187" s="77">
        <f t="shared" si="60"/>
        <v>0</v>
      </c>
      <c r="AD187" s="113">
        <f>IFERROR(VLOOKUP($B187,'[37](917__Remaining_Term'!$A$2:$B$5,2,FALSE),0)</f>
        <v>0</v>
      </c>
      <c r="AG187" s="77">
        <f t="shared" si="61"/>
        <v>1.0112042445432452E-3</v>
      </c>
      <c r="AH187" s="113">
        <f>IFERROR(VLOOKUP($B187,'[38](917__Remaining_Term'!$A$1:$B$6,2,FALSE),0)</f>
        <v>256227.47</v>
      </c>
      <c r="AK187" s="77">
        <f t="shared" si="62"/>
        <v>9.4234011214756247E-2</v>
      </c>
      <c r="AL187" s="102">
        <f>VLOOKUP(B187,'[39](917__Remaining_Term'!$A$2:$B$6,2,0)</f>
        <v>27278971.530000001</v>
      </c>
      <c r="AO187" s="77">
        <v>1.641899017285179E-2</v>
      </c>
      <c r="AP187" s="102">
        <v>5305074.4900000021</v>
      </c>
    </row>
    <row r="188" spans="1:42" ht="13.5" thickBot="1">
      <c r="A188" s="125" t="s">
        <v>177</v>
      </c>
      <c r="B188" s="1" t="s">
        <v>177</v>
      </c>
      <c r="E188" s="85">
        <f t="shared" si="57"/>
        <v>0</v>
      </c>
      <c r="F188" s="113">
        <f>IFERROR(VLOOKUP($A188,'[34]remaining term'!$A$2:$C$4,3,FALSE),0)</f>
        <v>0</v>
      </c>
      <c r="I188" s="77">
        <v>0</v>
      </c>
      <c r="J188" s="113">
        <v>0</v>
      </c>
      <c r="M188" s="77">
        <v>0</v>
      </c>
      <c r="N188" s="113">
        <v>0</v>
      </c>
      <c r="Q188" s="77">
        <v>0</v>
      </c>
      <c r="R188" s="113">
        <v>0</v>
      </c>
      <c r="U188" s="77">
        <f t="shared" si="58"/>
        <v>0</v>
      </c>
      <c r="V188" s="113">
        <f>IFERROR(VLOOKUP($A188,'[28]Remaining Term'!$A$4:$B$7,2,FALSE),0)</f>
        <v>0</v>
      </c>
      <c r="Y188" s="77">
        <f t="shared" si="59"/>
        <v>0</v>
      </c>
      <c r="Z188" s="113">
        <f>IFERROR(VLOOKUP($B188,'[38](917__Remaining_Term'!$A$1:$B$6,2,FALSE),0)</f>
        <v>0</v>
      </c>
      <c r="AC188" s="77">
        <f t="shared" si="60"/>
        <v>0</v>
      </c>
      <c r="AD188" s="113">
        <f>IFERROR(VLOOKUP($B188,'[38](917__Remaining_Term'!$A$1:$B$6,2,FALSE),0)</f>
        <v>0</v>
      </c>
      <c r="AG188" s="77">
        <f t="shared" si="61"/>
        <v>0</v>
      </c>
      <c r="AH188" s="113">
        <f>IFERROR(VLOOKUP($B188,'[38](917__Remaining_Term'!$A$1:$B$6,2,FALSE),0)</f>
        <v>0</v>
      </c>
      <c r="AK188" s="77">
        <f t="shared" si="62"/>
        <v>0</v>
      </c>
      <c r="AL188" s="102">
        <v>0</v>
      </c>
      <c r="AO188" s="77">
        <v>1.4647954466603201E-3</v>
      </c>
      <c r="AP188" s="102">
        <v>473284.21999999991</v>
      </c>
    </row>
    <row r="189" spans="1:42" ht="13.5" thickBot="1">
      <c r="A189" s="126"/>
      <c r="E189" s="78">
        <f>SUM(E183:E188)</f>
        <v>1</v>
      </c>
      <c r="F189" s="120">
        <f>SUM(F183:F188)</f>
        <v>98972900.760000005</v>
      </c>
      <c r="I189" s="78">
        <v>1</v>
      </c>
      <c r="J189" s="120">
        <v>122415113.53000006</v>
      </c>
      <c r="M189" s="78">
        <v>1</v>
      </c>
      <c r="N189" s="120">
        <v>137450609.89000008</v>
      </c>
      <c r="Q189" s="78">
        <v>1</v>
      </c>
      <c r="R189" s="120">
        <v>154418920.69999996</v>
      </c>
      <c r="U189" s="78">
        <f>SUM(U183:U188)</f>
        <v>1</v>
      </c>
      <c r="V189" s="120">
        <f>SUM(V183:V188)</f>
        <v>184802944.96999991</v>
      </c>
      <c r="Y189" s="78">
        <f>SUM(Y183:Y188)</f>
        <v>1</v>
      </c>
      <c r="Z189" s="120">
        <f>SUM(Z183:Z188)</f>
        <v>213516536.23999992</v>
      </c>
      <c r="AC189" s="78">
        <f>SUM(AC183:AC188)</f>
        <v>1</v>
      </c>
      <c r="AD189" s="120">
        <f>SUM(AD183:AD188)</f>
        <v>233023822</v>
      </c>
      <c r="AG189" s="78">
        <f>SUM(AG183:AG188)</f>
        <v>1</v>
      </c>
      <c r="AH189" s="120">
        <f>SUM(AH183:AH188)</f>
        <v>253388443.91</v>
      </c>
      <c r="AK189" s="78">
        <f>SUM(AK183:AK188)</f>
        <v>1</v>
      </c>
      <c r="AL189" s="120">
        <f>SUM(AL183:AL188)</f>
        <v>289481166.91999996</v>
      </c>
      <c r="AO189" s="78">
        <v>0.99999999999999989</v>
      </c>
      <c r="AP189" s="120">
        <v>323106015.30000013</v>
      </c>
    </row>
    <row r="190" spans="1:42">
      <c r="A190" s="127"/>
      <c r="E190" s="77"/>
      <c r="I190" s="77"/>
      <c r="M190" s="77"/>
      <c r="Q190" s="77"/>
      <c r="U190" s="77"/>
      <c r="Y190" s="77"/>
      <c r="AC190" s="77"/>
      <c r="AG190" s="77"/>
      <c r="AK190" s="77"/>
      <c r="AO190" s="77"/>
    </row>
    <row r="191" spans="1:42">
      <c r="A191" s="127"/>
      <c r="B191" s="70" t="s">
        <v>178</v>
      </c>
      <c r="E191" s="77"/>
      <c r="I191" s="77"/>
      <c r="M191" s="77"/>
      <c r="Q191" s="77"/>
      <c r="U191" s="77"/>
      <c r="Y191" s="77"/>
      <c r="AC191" s="77"/>
      <c r="AG191" s="77"/>
      <c r="AK191" s="77"/>
      <c r="AO191" s="77"/>
    </row>
    <row r="192" spans="1:42">
      <c r="A192" s="128" t="s">
        <v>216</v>
      </c>
      <c r="B192" s="1" t="s">
        <v>307</v>
      </c>
      <c r="E192" s="85">
        <f t="shared" ref="E192:E201" si="63">F192/F$202</f>
        <v>7.2632214927515631E-4</v>
      </c>
      <c r="F192" s="113">
        <f>IFERROR(VLOOKUP($B192,[34]LVR!$A$2:$C$10,3,FALSE),0)</f>
        <v>71886.209999999992</v>
      </c>
      <c r="I192" s="85">
        <v>6.9373893101187898E-4</v>
      </c>
      <c r="J192" s="113">
        <v>84924.13</v>
      </c>
      <c r="M192" s="85">
        <v>6.1785196928528516E-4</v>
      </c>
      <c r="N192" s="113">
        <v>84924.13</v>
      </c>
      <c r="Q192" s="85">
        <v>5.4995935481888145E-4</v>
      </c>
      <c r="R192" s="113">
        <v>84924.13</v>
      </c>
      <c r="U192" s="85">
        <f t="shared" ref="U192:U201" si="64">V192/V$202</f>
        <v>0</v>
      </c>
      <c r="V192" s="113">
        <f>IFERROR(VLOOKUP($B192,'[28]LVR Band'!$A$4:$B$13,2,FALSE),0)</f>
        <v>0</v>
      </c>
      <c r="Y192" s="77">
        <f t="shared" ref="Y192:Y201" si="65">Z192/Z$202</f>
        <v>0</v>
      </c>
      <c r="Z192" s="113">
        <f>IFERROR(VLOOKUP($B192,[29]LVR!$A$5:$B$13,2,FALSE),0)</f>
        <v>0</v>
      </c>
      <c r="AC192" s="77" t="e">
        <f t="shared" ref="AC192:AC201" si="66">AD192/AD$202</f>
        <v>#DIV/0!</v>
      </c>
      <c r="AD192" s="113">
        <f>IFERROR(VLOOKUP($B192,'[37](910__LVR_DISTRIBUTION'!$A$2:$D$10,4,FALSE),0)</f>
        <v>0</v>
      </c>
      <c r="AG192" s="77" t="e">
        <f t="shared" ref="AG192:AG201" si="67">AH192/AH$202</f>
        <v>#DIV/0!</v>
      </c>
      <c r="AH192" s="113">
        <f>IFERROR(VLOOKUP($B192,'[38](910__LVR_DISTRIBUTION'!$A$1:$E$10,4,FALSE),0)</f>
        <v>0</v>
      </c>
      <c r="AK192" s="77" t="e">
        <f>AL192/$AL$202</f>
        <v>#N/A</v>
      </c>
      <c r="AL192" s="102" t="e">
        <f>VLOOKUP(B192,'[39](910__LVR_DISTRIBUTION'!$A$2:$D$10,4,0)</f>
        <v>#N/A</v>
      </c>
      <c r="AO192" s="77">
        <v>8.579900616910611E-4</v>
      </c>
      <c r="AP192" s="102">
        <v>277221.75</v>
      </c>
    </row>
    <row r="193" spans="1:43">
      <c r="A193" s="128" t="s">
        <v>179</v>
      </c>
      <c r="B193" s="1" t="s">
        <v>308</v>
      </c>
      <c r="E193" s="85">
        <f t="shared" si="63"/>
        <v>5.7843047501278449E-3</v>
      </c>
      <c r="F193" s="113">
        <f>IFERROR(VLOOKUP($B193,[34]LVR!$A$2:$C$10,3,FALSE),0)</f>
        <v>572489.42000000004</v>
      </c>
      <c r="I193" s="85">
        <v>6.7026804643604693E-3</v>
      </c>
      <c r="J193" s="113">
        <v>820509.39</v>
      </c>
      <c r="M193" s="85">
        <v>7.3803997727754263E-3</v>
      </c>
      <c r="N193" s="113">
        <v>1014440.4499999998</v>
      </c>
      <c r="Q193" s="85">
        <v>7.7966631585192807E-3</v>
      </c>
      <c r="R193" s="113">
        <v>1203952.3100000003</v>
      </c>
      <c r="U193" s="85">
        <f t="shared" si="64"/>
        <v>0</v>
      </c>
      <c r="V193" s="113">
        <f>IFERROR(VLOOKUP($B193,'[28]LVR Band'!$A$4:$B$13,2,FALSE),0)</f>
        <v>0</v>
      </c>
      <c r="Y193" s="77">
        <f t="shared" si="65"/>
        <v>0</v>
      </c>
      <c r="Z193" s="113">
        <f>IFERROR(VLOOKUP($B193,[29]LVR!$A$5:$B$13,2,FALSE),0)</f>
        <v>0</v>
      </c>
      <c r="AC193" s="77" t="e">
        <f t="shared" si="66"/>
        <v>#DIV/0!</v>
      </c>
      <c r="AD193" s="113">
        <f>IFERROR(VLOOKUP($B193,'[37](910__LVR_DISTRIBUTION'!$A$2:$D$10,4,FALSE),0)</f>
        <v>0</v>
      </c>
      <c r="AG193" s="77" t="e">
        <f t="shared" si="67"/>
        <v>#DIV/0!</v>
      </c>
      <c r="AH193" s="113">
        <f>IFERROR(VLOOKUP($B193,'[38](910__LVR_DISTRIBUTION'!$A$1:$E$10,4,FALSE),0)</f>
        <v>0</v>
      </c>
      <c r="AK193" s="77" t="e">
        <f t="shared" ref="AK193:AK200" si="68">AL193/$AL$202</f>
        <v>#N/A</v>
      </c>
      <c r="AL193" s="102" t="e">
        <f>VLOOKUP(B193,'[39](910__LVR_DISTRIBUTION'!$A$2:$D$10,4,0)</f>
        <v>#N/A</v>
      </c>
      <c r="AO193" s="77">
        <v>9.8686453021910019E-3</v>
      </c>
      <c r="AP193" s="102">
        <v>3188618.6599999997</v>
      </c>
    </row>
    <row r="194" spans="1:43">
      <c r="A194" s="128" t="s">
        <v>180</v>
      </c>
      <c r="B194" s="1" t="s">
        <v>309</v>
      </c>
      <c r="E194" s="85">
        <f t="shared" si="63"/>
        <v>2.8859385529441541E-2</v>
      </c>
      <c r="F194" s="113">
        <f>IFERROR(VLOOKUP($B194,[34]LVR!$A$2:$C$10,3,FALSE),0)</f>
        <v>2856297.0999999992</v>
      </c>
      <c r="I194" s="85">
        <v>3.427999042758393E-2</v>
      </c>
      <c r="J194" s="113">
        <v>4196388.92</v>
      </c>
      <c r="M194" s="85">
        <v>3.4120069483527256E-2</v>
      </c>
      <c r="N194" s="113">
        <v>4689824.3599999994</v>
      </c>
      <c r="Q194" s="85">
        <v>3.2527593103427253E-2</v>
      </c>
      <c r="R194" s="113">
        <v>5022875.8199999994</v>
      </c>
      <c r="U194" s="85">
        <f t="shared" si="64"/>
        <v>0</v>
      </c>
      <c r="V194" s="113">
        <f>IFERROR(VLOOKUP($B194,'[28]LVR Band'!$A$4:$B$13,2,FALSE),0)</f>
        <v>0</v>
      </c>
      <c r="Y194" s="77">
        <f t="shared" si="65"/>
        <v>0</v>
      </c>
      <c r="Z194" s="113">
        <f>IFERROR(VLOOKUP($B194,[29]LVR!$A$5:$B$13,2,FALSE),0)</f>
        <v>0</v>
      </c>
      <c r="AC194" s="77" t="e">
        <f t="shared" si="66"/>
        <v>#DIV/0!</v>
      </c>
      <c r="AD194" s="113">
        <f>IFERROR(VLOOKUP($B194,'[37](910__LVR_DISTRIBUTION'!$A$2:$D$10,4,FALSE),0)</f>
        <v>0</v>
      </c>
      <c r="AG194" s="77" t="e">
        <f t="shared" si="67"/>
        <v>#DIV/0!</v>
      </c>
      <c r="AH194" s="113">
        <f>IFERROR(VLOOKUP($B194,'[38](910__LVR_DISTRIBUTION'!$A$1:$E$10,4,FALSE),0)</f>
        <v>0</v>
      </c>
      <c r="AK194" s="77" t="e">
        <f t="shared" si="68"/>
        <v>#N/A</v>
      </c>
      <c r="AL194" s="102" t="e">
        <f>VLOOKUP(B194,'[39](910__LVR_DISTRIBUTION'!$A$2:$D$10,4,0)</f>
        <v>#N/A</v>
      </c>
      <c r="AO194" s="77">
        <v>3.5802030145614568E-2</v>
      </c>
      <c r="AP194" s="102">
        <v>11567851.300000004</v>
      </c>
    </row>
    <row r="195" spans="1:43">
      <c r="A195" s="123" t="s">
        <v>217</v>
      </c>
      <c r="B195" s="1" t="s">
        <v>310</v>
      </c>
      <c r="E195" s="85">
        <f t="shared" si="63"/>
        <v>7.2068129611522133E-2</v>
      </c>
      <c r="F195" s="113">
        <f>IFERROR(VLOOKUP($B195,[34]LVR!$A$2:$C$10,3,FALSE),0)</f>
        <v>7132791.8400000017</v>
      </c>
      <c r="I195" s="85">
        <v>7.5948582751765706E-2</v>
      </c>
      <c r="J195" s="113">
        <v>9297254.379999999</v>
      </c>
      <c r="M195" s="85">
        <v>7.3741356608832465E-2</v>
      </c>
      <c r="N195" s="113">
        <v>10135794.440000005</v>
      </c>
      <c r="Q195" s="85">
        <v>6.9535620125597733E-2</v>
      </c>
      <c r="R195" s="113">
        <v>10737615.41</v>
      </c>
      <c r="U195" s="85">
        <f t="shared" si="64"/>
        <v>0</v>
      </c>
      <c r="V195" s="113">
        <f>IFERROR(VLOOKUP($B195,'[28]LVR Band'!$A$4:$B$13,2,FALSE),0)</f>
        <v>0</v>
      </c>
      <c r="Y195" s="77">
        <f t="shared" si="65"/>
        <v>0</v>
      </c>
      <c r="Z195" s="113">
        <f>IFERROR(VLOOKUP($B195,[29]LVR!$A$5:$B$13,2,FALSE),0)</f>
        <v>0</v>
      </c>
      <c r="AC195" s="77" t="e">
        <f t="shared" si="66"/>
        <v>#DIV/0!</v>
      </c>
      <c r="AD195" s="113">
        <f>IFERROR(VLOOKUP($B195,'[37](910__LVR_DISTRIBUTION'!$A$2:$D$10,4,FALSE),0)</f>
        <v>0</v>
      </c>
      <c r="AG195" s="77" t="e">
        <f t="shared" si="67"/>
        <v>#DIV/0!</v>
      </c>
      <c r="AH195" s="113">
        <f>IFERROR(VLOOKUP($B195,'[38](910__LVR_DISTRIBUTION'!$A$1:$E$10,4,FALSE),0)</f>
        <v>0</v>
      </c>
      <c r="AK195" s="77" t="e">
        <f t="shared" si="68"/>
        <v>#N/A</v>
      </c>
      <c r="AL195" s="102" t="e">
        <f>VLOOKUP(B195,'[39](910__LVR_DISTRIBUTION'!$A$2:$D$10,4,0)</f>
        <v>#N/A</v>
      </c>
      <c r="AO195" s="77">
        <v>7.5367767317453552E-2</v>
      </c>
      <c r="AP195" s="102">
        <v>24351778.979999993</v>
      </c>
    </row>
    <row r="196" spans="1:43">
      <c r="A196" s="123" t="s">
        <v>181</v>
      </c>
      <c r="B196" s="1" t="s">
        <v>311</v>
      </c>
      <c r="E196" s="85">
        <f t="shared" si="63"/>
        <v>0.11726642122113741</v>
      </c>
      <c r="F196" s="113">
        <f>IFERROR(VLOOKUP($B196,[34]LVR!$A$2:$C$10,3,FALSE),0)</f>
        <v>11606197.869999997</v>
      </c>
      <c r="I196" s="85">
        <v>0.12275215940813908</v>
      </c>
      <c r="J196" s="113">
        <v>15026719.530000003</v>
      </c>
      <c r="M196" s="85">
        <v>0.1186274498385203</v>
      </c>
      <c r="N196" s="113">
        <v>16305415.33</v>
      </c>
      <c r="Q196" s="85">
        <v>0.11144354125770034</v>
      </c>
      <c r="R196" s="113">
        <v>17208991.360000007</v>
      </c>
      <c r="U196" s="85">
        <f t="shared" si="64"/>
        <v>0</v>
      </c>
      <c r="V196" s="113">
        <f>IFERROR(VLOOKUP($B196,'[28]LVR Band'!$A$4:$B$13,2,FALSE),0)</f>
        <v>0</v>
      </c>
      <c r="Y196" s="77">
        <f t="shared" si="65"/>
        <v>0</v>
      </c>
      <c r="Z196" s="113">
        <f>IFERROR(VLOOKUP($B196,[29]LVR!$A$5:$B$13,2,FALSE),0)</f>
        <v>0</v>
      </c>
      <c r="AC196" s="77" t="e">
        <f t="shared" si="66"/>
        <v>#DIV/0!</v>
      </c>
      <c r="AD196" s="113">
        <f>IFERROR(VLOOKUP($B196,'[37](910__LVR_DISTRIBUTION'!$A$2:$D$10,4,FALSE),0)</f>
        <v>0</v>
      </c>
      <c r="AG196" s="77" t="e">
        <f t="shared" si="67"/>
        <v>#DIV/0!</v>
      </c>
      <c r="AH196" s="113">
        <f>IFERROR(VLOOKUP($B196,'[38](910__LVR_DISTRIBUTION'!$A$1:$E$10,4,FALSE),0)</f>
        <v>0</v>
      </c>
      <c r="AK196" s="77" t="e">
        <f t="shared" si="68"/>
        <v>#N/A</v>
      </c>
      <c r="AL196" s="102" t="e">
        <f>VLOOKUP(B196,'[39](910__LVR_DISTRIBUTION'!$A$2:$D$10,4,0)</f>
        <v>#N/A</v>
      </c>
      <c r="AO196" s="77">
        <v>0.10309040461247018</v>
      </c>
      <c r="AP196" s="102">
        <v>33309129.84999999</v>
      </c>
    </row>
    <row r="197" spans="1:43">
      <c r="A197" s="123" t="s">
        <v>182</v>
      </c>
      <c r="B197" s="1" t="s">
        <v>312</v>
      </c>
      <c r="E197" s="85">
        <f t="shared" si="63"/>
        <v>0.12976648296025955</v>
      </c>
      <c r="F197" s="113">
        <f>IFERROR(VLOOKUP($B197,[34]LVR!$A$2:$C$10,3,FALSE),0)</f>
        <v>12843365.240000006</v>
      </c>
      <c r="I197" s="85">
        <v>0.12756120890394121</v>
      </c>
      <c r="J197" s="113">
        <v>15615419.870000008</v>
      </c>
      <c r="M197" s="85">
        <v>0.12473828907504467</v>
      </c>
      <c r="N197" s="113">
        <v>17145353.910000015</v>
      </c>
      <c r="Q197" s="85">
        <v>0.12763215084432339</v>
      </c>
      <c r="R197" s="113">
        <v>19708818.980000008</v>
      </c>
      <c r="U197" s="85">
        <f t="shared" si="64"/>
        <v>0</v>
      </c>
      <c r="V197" s="113">
        <f>IFERROR(VLOOKUP($B197,'[28]LVR Band'!$A$4:$B$13,2,FALSE),0)</f>
        <v>0</v>
      </c>
      <c r="Y197" s="77">
        <f t="shared" si="65"/>
        <v>0</v>
      </c>
      <c r="Z197" s="113">
        <f>IFERROR(VLOOKUP($B197,[29]LVR!$A$5:$B$13,2,FALSE),0)</f>
        <v>0</v>
      </c>
      <c r="AC197" s="77" t="e">
        <f t="shared" si="66"/>
        <v>#DIV/0!</v>
      </c>
      <c r="AD197" s="113">
        <f>IFERROR(VLOOKUP($B197,'[37](910__LVR_DISTRIBUTION'!$A$2:$D$10,4,FALSE),0)</f>
        <v>0</v>
      </c>
      <c r="AG197" s="77" t="e">
        <f t="shared" si="67"/>
        <v>#DIV/0!</v>
      </c>
      <c r="AH197" s="113">
        <f>IFERROR(VLOOKUP($B197,'[38](910__LVR_DISTRIBUTION'!$A$1:$E$10,4,FALSE),0)</f>
        <v>0</v>
      </c>
      <c r="AK197" s="77" t="e">
        <f t="shared" si="68"/>
        <v>#N/A</v>
      </c>
      <c r="AL197" s="102" t="e">
        <f>VLOOKUP(B197,'[39](910__LVR_DISTRIBUTION'!$A$2:$D$10,4,0)</f>
        <v>#N/A</v>
      </c>
      <c r="AO197" s="77">
        <v>0.12213962662799113</v>
      </c>
      <c r="AP197" s="102">
        <v>39464048.07</v>
      </c>
    </row>
    <row r="198" spans="1:43">
      <c r="A198" s="123" t="s">
        <v>183</v>
      </c>
      <c r="B198" s="1" t="s">
        <v>313</v>
      </c>
      <c r="E198" s="85">
        <f t="shared" si="63"/>
        <v>0.13894511764737322</v>
      </c>
      <c r="F198" s="113">
        <f>IFERROR(VLOOKUP($B198,[34]LVR!$A$2:$C$10,3,FALSE),0)</f>
        <v>13751801.340000002</v>
      </c>
      <c r="I198" s="85">
        <v>0.14001428766227922</v>
      </c>
      <c r="J198" s="113">
        <v>17139864.919999991</v>
      </c>
      <c r="M198" s="85">
        <v>0.13870498694227362</v>
      </c>
      <c r="N198" s="113">
        <v>19065085.049999997</v>
      </c>
      <c r="Q198" s="85">
        <v>0.14148624016383246</v>
      </c>
      <c r="R198" s="113">
        <v>21848152.5</v>
      </c>
      <c r="U198" s="85">
        <f t="shared" si="64"/>
        <v>0</v>
      </c>
      <c r="V198" s="113">
        <f>IFERROR(VLOOKUP($B198,'[28]LVR Band'!$A$4:$B$13,2,FALSE),0)</f>
        <v>0</v>
      </c>
      <c r="Y198" s="77">
        <f t="shared" si="65"/>
        <v>0</v>
      </c>
      <c r="Z198" s="113">
        <f>IFERROR(VLOOKUP($B198,[29]LVR!$A$5:$B$13,2,FALSE),0)</f>
        <v>0</v>
      </c>
      <c r="AC198" s="77" t="e">
        <f t="shared" si="66"/>
        <v>#DIV/0!</v>
      </c>
      <c r="AD198" s="113">
        <f>IFERROR(VLOOKUP($B198,'[37](910__LVR_DISTRIBUTION'!$A$2:$D$10,4,FALSE),0)</f>
        <v>0</v>
      </c>
      <c r="AG198" s="77" t="e">
        <f t="shared" si="67"/>
        <v>#DIV/0!</v>
      </c>
      <c r="AH198" s="113">
        <f>IFERROR(VLOOKUP($B198,'[38](910__LVR_DISTRIBUTION'!$A$1:$E$10,4,FALSE),0)</f>
        <v>0</v>
      </c>
      <c r="AK198" s="77" t="e">
        <f t="shared" si="68"/>
        <v>#N/A</v>
      </c>
      <c r="AL198" s="102" t="e">
        <f>VLOOKUP(B198,'[39](910__LVR_DISTRIBUTION'!$A$2:$D$10,4,0)</f>
        <v>#N/A</v>
      </c>
      <c r="AO198" s="77">
        <v>0.13649495679940074</v>
      </c>
      <c r="AP198" s="102">
        <v>44102341.600000024</v>
      </c>
    </row>
    <row r="199" spans="1:43">
      <c r="A199" s="123" t="s">
        <v>184</v>
      </c>
      <c r="B199" s="1" t="s">
        <v>314</v>
      </c>
      <c r="E199" s="85">
        <f t="shared" si="63"/>
        <v>0.18351815760199203</v>
      </c>
      <c r="F199" s="113">
        <f>IFERROR(VLOOKUP($B199,[34]LVR!$A$2:$C$10,3,FALSE),0)</f>
        <v>18163324.400000006</v>
      </c>
      <c r="I199" s="85">
        <v>0.17645609530645359</v>
      </c>
      <c r="J199" s="113">
        <v>21600892.940000016</v>
      </c>
      <c r="M199" s="85">
        <v>0.17786941541813189</v>
      </c>
      <c r="N199" s="113">
        <v>24448259.630000003</v>
      </c>
      <c r="Q199" s="85">
        <v>0.18328643026191035</v>
      </c>
      <c r="R199" s="113">
        <v>28302892.740000013</v>
      </c>
      <c r="U199" s="85">
        <f t="shared" si="64"/>
        <v>0</v>
      </c>
      <c r="V199" s="113">
        <f>IFERROR(VLOOKUP($B199,'[28]LVR Band'!$A$4:$B$13,2,FALSE),0)</f>
        <v>0</v>
      </c>
      <c r="Y199" s="77">
        <f t="shared" si="65"/>
        <v>0</v>
      </c>
      <c r="Z199" s="113">
        <f>IFERROR(VLOOKUP($B199,[29]LVR!$A$5:$B$13,2,FALSE),0)</f>
        <v>0</v>
      </c>
      <c r="AC199" s="77" t="e">
        <f t="shared" si="66"/>
        <v>#DIV/0!</v>
      </c>
      <c r="AD199" s="113">
        <f>IFERROR(VLOOKUP($B199,'[37](910__LVR_DISTRIBUTION'!$A$2:$D$10,4,FALSE),0)</f>
        <v>0</v>
      </c>
      <c r="AG199" s="77" t="e">
        <f t="shared" si="67"/>
        <v>#DIV/0!</v>
      </c>
      <c r="AH199" s="113">
        <f>IFERROR(VLOOKUP($B199,'[38](910__LVR_DISTRIBUTION'!$A$1:$E$10,4,FALSE),0)</f>
        <v>0</v>
      </c>
      <c r="AK199" s="77" t="e">
        <f t="shared" si="68"/>
        <v>#N/A</v>
      </c>
      <c r="AL199" s="102" t="e">
        <f>VLOOKUP(B199,'[39](910__LVR_DISTRIBUTION'!$A$2:$D$10,4,0)</f>
        <v>#N/A</v>
      </c>
      <c r="AO199" s="77">
        <v>0.17528179055229093</v>
      </c>
      <c r="AP199" s="102">
        <v>56634600.899999917</v>
      </c>
    </row>
    <row r="200" spans="1:43">
      <c r="A200" s="123" t="s">
        <v>185</v>
      </c>
      <c r="B200" s="1" t="s">
        <v>315</v>
      </c>
      <c r="E200" s="85">
        <f t="shared" si="63"/>
        <v>0.32306567852887097</v>
      </c>
      <c r="F200" s="113">
        <f>IFERROR(VLOOKUP($B200,[34]LVR!$A$2:$C$10,3,FALSE),0)</f>
        <v>31974747.340000026</v>
      </c>
      <c r="I200" s="85">
        <v>0.31559125614446504</v>
      </c>
      <c r="J200" s="113">
        <v>38633139.449999996</v>
      </c>
      <c r="M200" s="85">
        <v>0.32420018089160907</v>
      </c>
      <c r="N200" s="113">
        <v>44561512.589999996</v>
      </c>
      <c r="Q200" s="85">
        <v>0.32574180172987027</v>
      </c>
      <c r="R200" s="113">
        <v>50300697.449999958</v>
      </c>
      <c r="U200" s="85">
        <f t="shared" si="64"/>
        <v>1</v>
      </c>
      <c r="V200" s="113">
        <v>61368205.130000003</v>
      </c>
      <c r="Y200" s="77">
        <f t="shared" si="65"/>
        <v>1</v>
      </c>
      <c r="Z200" s="113">
        <v>69258416.299999967</v>
      </c>
      <c r="AC200" s="77" t="e">
        <f t="shared" si="66"/>
        <v>#DIV/0!</v>
      </c>
      <c r="AD200" s="113">
        <f>IFERROR(VLOOKUP($B200,'[37](910__LVR_DISTRIBUTION'!$A$2:$D$10,4,FALSE),0)</f>
        <v>0</v>
      </c>
      <c r="AG200" s="77" t="e">
        <f t="shared" si="67"/>
        <v>#DIV/0!</v>
      </c>
      <c r="AH200" s="113">
        <f>IFERROR(VLOOKUP($B200,'[38](910__LVR_DISTRIBUTION'!$A$1:$E$10,4,FALSE),0)</f>
        <v>0</v>
      </c>
      <c r="AK200" s="77" t="e">
        <f t="shared" si="68"/>
        <v>#N/A</v>
      </c>
      <c r="AL200" s="102" t="e">
        <f>VLOOKUP(B200,'[39](910__LVR_DISTRIBUTION'!$A$2:$D$10,4,0)</f>
        <v>#N/A</v>
      </c>
      <c r="AO200" s="77">
        <v>0.34109678858089687</v>
      </c>
      <c r="AP200" s="102">
        <v>110210424.19000015</v>
      </c>
    </row>
    <row r="201" spans="1:43" ht="13.5" thickBot="1">
      <c r="A201" s="123" t="s">
        <v>186</v>
      </c>
      <c r="B201" s="1" t="s">
        <v>186</v>
      </c>
      <c r="E201" s="85">
        <f t="shared" si="63"/>
        <v>0</v>
      </c>
      <c r="F201" s="113">
        <f>IFERROR(VLOOKUP($B201,[34]LVR!$A$2:$C$10,3,FALSE),0)</f>
        <v>0</v>
      </c>
      <c r="G201" s="121"/>
      <c r="I201" s="85">
        <v>0</v>
      </c>
      <c r="J201" s="113">
        <v>0</v>
      </c>
      <c r="K201" s="121"/>
      <c r="M201" s="85">
        <v>0</v>
      </c>
      <c r="N201" s="113">
        <v>0</v>
      </c>
      <c r="O201" s="121"/>
      <c r="Q201" s="85">
        <v>0</v>
      </c>
      <c r="R201" s="113">
        <v>0</v>
      </c>
      <c r="S201" s="121"/>
      <c r="U201" s="85">
        <f t="shared" si="64"/>
        <v>0</v>
      </c>
      <c r="V201" s="113">
        <f>IFERROR(VLOOKUP($B201,'[38](910__LVR_DISTRIBUTION'!$A$1:$E$10,4,FALSE),0)</f>
        <v>0</v>
      </c>
      <c r="W201" s="121"/>
      <c r="Y201" s="77">
        <f t="shared" si="65"/>
        <v>0</v>
      </c>
      <c r="Z201" s="113">
        <f>IFERROR(VLOOKUP($B201,'[38](910__LVR_DISTRIBUTION'!$A$1:$E$10,4,FALSE),0)</f>
        <v>0</v>
      </c>
      <c r="AA201" s="121"/>
      <c r="AC201" s="77" t="e">
        <f t="shared" si="66"/>
        <v>#DIV/0!</v>
      </c>
      <c r="AD201" s="113">
        <f>IFERROR(VLOOKUP($B201,'[38](910__LVR_DISTRIBUTION'!$A$1:$E$10,4,FALSE),0)</f>
        <v>0</v>
      </c>
      <c r="AE201" s="121"/>
      <c r="AG201" s="77" t="e">
        <f t="shared" si="67"/>
        <v>#DIV/0!</v>
      </c>
      <c r="AH201" s="113">
        <f>IFERROR(VLOOKUP($B201,'[38](910__LVR_DISTRIBUTION'!$A$1:$E$10,4,FALSE),0)</f>
        <v>0</v>
      </c>
      <c r="AI201" s="121"/>
      <c r="AJ201" s="129"/>
      <c r="AK201" s="77" t="e">
        <f>AL201/$AL$202</f>
        <v>#N/A</v>
      </c>
      <c r="AL201" s="102">
        <v>0</v>
      </c>
      <c r="AM201" s="121"/>
      <c r="AO201" s="77">
        <v>0</v>
      </c>
      <c r="AP201" s="102">
        <v>0</v>
      </c>
      <c r="AQ201" s="121"/>
    </row>
    <row r="202" spans="1:43" ht="13.5" thickBot="1">
      <c r="A202" s="80"/>
      <c r="E202" s="135">
        <f>SUM(E192:E201)</f>
        <v>0.99999999999999978</v>
      </c>
      <c r="F202" s="120">
        <f>SUM(F192:F201)</f>
        <v>98972900.76000005</v>
      </c>
      <c r="I202" s="135">
        <v>1</v>
      </c>
      <c r="J202" s="120">
        <v>122415113.53</v>
      </c>
      <c r="M202" s="135">
        <v>1</v>
      </c>
      <c r="N202" s="120">
        <v>137450609.89000002</v>
      </c>
      <c r="Q202" s="135">
        <v>1</v>
      </c>
      <c r="R202" s="120">
        <v>154418920.69999999</v>
      </c>
      <c r="U202" s="135">
        <f>SUM(U192:U201)</f>
        <v>1</v>
      </c>
      <c r="V202" s="120">
        <f>SUM(V192:V201)</f>
        <v>61368205.130000003</v>
      </c>
      <c r="Y202" s="135">
        <f>SUM(Y192:Y201)</f>
        <v>1</v>
      </c>
      <c r="Z202" s="120">
        <f>SUM(Z192:Z201)</f>
        <v>69258416.299999967</v>
      </c>
      <c r="AC202" s="135" t="e">
        <f>SUM(AC192:AC201)</f>
        <v>#DIV/0!</v>
      </c>
      <c r="AD202" s="120">
        <f>SUM(AD192:AD201)</f>
        <v>0</v>
      </c>
      <c r="AG202" s="135" t="e">
        <f>SUM(AG192:AG201)</f>
        <v>#DIV/0!</v>
      </c>
      <c r="AH202" s="120">
        <f>SUM(AH192:AH201)</f>
        <v>0</v>
      </c>
      <c r="AK202" s="135" t="e">
        <f>SUM(AK192:AK201)</f>
        <v>#N/A</v>
      </c>
      <c r="AL202" s="120" t="e">
        <f>SUM(AL192:AL201)</f>
        <v>#N/A</v>
      </c>
      <c r="AO202" s="135">
        <v>1</v>
      </c>
      <c r="AP202" s="120">
        <v>323106015.30000007</v>
      </c>
    </row>
    <row r="203" spans="1:43">
      <c r="A203" s="80"/>
      <c r="E203" s="77"/>
      <c r="I203" s="77"/>
      <c r="M203" s="77"/>
      <c r="Q203" s="77"/>
      <c r="U203" s="77"/>
      <c r="Y203" s="77"/>
      <c r="AC203" s="77"/>
      <c r="AG203" s="77"/>
      <c r="AK203" s="77"/>
      <c r="AO203" s="77"/>
    </row>
    <row r="204" spans="1:43">
      <c r="A204" s="80"/>
      <c r="B204" s="70" t="s">
        <v>187</v>
      </c>
      <c r="E204" s="77"/>
      <c r="I204" s="77"/>
      <c r="M204" s="77"/>
      <c r="Q204" s="77"/>
      <c r="U204" s="77"/>
      <c r="Y204" s="77"/>
      <c r="AC204" s="77"/>
      <c r="AG204" s="77"/>
      <c r="AK204" s="77"/>
      <c r="AO204" s="77"/>
    </row>
    <row r="205" spans="1:43">
      <c r="A205" s="107" t="s">
        <v>223</v>
      </c>
      <c r="B205" s="1" t="s">
        <v>188</v>
      </c>
      <c r="E205" s="77">
        <f>F205/F$208</f>
        <v>0.81006136138633289</v>
      </c>
      <c r="F205" s="102">
        <f>IFERROR(VLOOKUP($B205,'[34]New v Used'!$A$2:$C$3,3,0),0)</f>
        <v>80174122.730000034</v>
      </c>
      <c r="I205" s="77">
        <v>0.80822788622217923</v>
      </c>
      <c r="J205" s="102">
        <v>98939308.450000033</v>
      </c>
      <c r="M205" s="77">
        <v>0.80306181630141038</v>
      </c>
      <c r="N205" s="102">
        <v>110381336.42999999</v>
      </c>
      <c r="Q205" s="77">
        <v>0.79600915219970192</v>
      </c>
      <c r="R205" s="102">
        <v>122918874.15000007</v>
      </c>
      <c r="U205" s="77">
        <f>V205/V$208</f>
        <v>0.79161612047767127</v>
      </c>
      <c r="V205" s="102">
        <f>IFERROR(VLOOKUP(B205,'[35]New v Used'!$A$2:$C$4,3,0),0)+'[35]New v Used'!$C$3</f>
        <v>146292990.34999982</v>
      </c>
      <c r="Y205" s="77">
        <f>Z205/Z$208</f>
        <v>0.79469465160896613</v>
      </c>
      <c r="Z205" s="102">
        <f>VLOOKUP(B205,'[36]New v Used'!$A$2:$C$4,3,0)+'[36]New v Used'!$C$3</f>
        <v>169680449.37999985</v>
      </c>
      <c r="AC205" s="77">
        <f>AD205/AD$208</f>
        <v>0.79279228889310727</v>
      </c>
      <c r="AD205" s="102">
        <f>VLOOKUP($B205,'[37](914__New_v_Used'!$A$2:$B$4,2,0)+VLOOKUP($A205,'[37](914__New_v_Used'!$A$2:$B$4,2,0)</f>
        <v>184739489.21000001</v>
      </c>
      <c r="AG205" s="77">
        <f>AH205/AH$208</f>
        <v>0.79280371460567611</v>
      </c>
      <c r="AH205" s="102">
        <f>VLOOKUP($B205,'[38](914__New_v_Used'!$A$1:$B$4,2,0)+VLOOKUP($A205,'[38](914__New_v_Used'!$A$1:$B$4,2,0)</f>
        <v>200887299.57000002</v>
      </c>
      <c r="AK205" s="77">
        <f>AL205/$AL$208</f>
        <v>0.78415775020947254</v>
      </c>
      <c r="AL205" s="102">
        <f>VLOOKUP(B205,'[39](914__New_v_Used'!$A$2:$B$4,2,0)+'[39](914__New_v_Used'!$B$3</f>
        <v>226998900.58000001</v>
      </c>
      <c r="AO205" s="77">
        <f>AP205/AP208</f>
        <v>0.78125116227138225</v>
      </c>
      <c r="AP205" s="102">
        <f>252418710.79+8239.2</f>
        <v>252426949.98999998</v>
      </c>
    </row>
    <row r="206" spans="1:43">
      <c r="A206" s="107" t="s">
        <v>247</v>
      </c>
      <c r="B206" s="1" t="s">
        <v>189</v>
      </c>
      <c r="E206" s="77">
        <f>F206/F$208</f>
        <v>0.18993863861366719</v>
      </c>
      <c r="F206" s="102">
        <f>IFERROR(VLOOKUP($B206,'[34]New v Used'!$A$2:$C$3,3,0),0)</f>
        <v>18798778.02999999</v>
      </c>
      <c r="I206" s="77">
        <v>0.19177211377782072</v>
      </c>
      <c r="J206" s="102">
        <v>23475805.080000009</v>
      </c>
      <c r="M206" s="77">
        <v>0.19693818369858962</v>
      </c>
      <c r="N206" s="102">
        <v>27069273.459999997</v>
      </c>
      <c r="Q206" s="77">
        <v>0.203990847800298</v>
      </c>
      <c r="R206" s="102">
        <v>31500046.550000001</v>
      </c>
      <c r="U206" s="77">
        <f>V206/V$208</f>
        <v>0.20838387952232865</v>
      </c>
      <c r="V206" s="102">
        <f>IFERROR(VLOOKUP(B206,'[35]New v Used'!$A$2:$C$4,3,0),0)</f>
        <v>38509954.619999968</v>
      </c>
      <c r="Y206" s="77">
        <f>Z206/Z$208</f>
        <v>0.20530534839103387</v>
      </c>
      <c r="Z206" s="102">
        <f>VLOOKUP($B206,'[36]New v Used'!$A$2:$C$4,3,0)</f>
        <v>43836086.859999977</v>
      </c>
      <c r="AC206" s="77">
        <f>AD206/AD$208</f>
        <v>0.20720771110689276</v>
      </c>
      <c r="AD206" s="102">
        <f>VLOOKUP($B206,'[37](914__New_v_Used'!$A$2:$B$4,2,0)</f>
        <v>48284332.789999999</v>
      </c>
      <c r="AG206" s="77">
        <f>AH206/AH$208</f>
        <v>0.20719628539432391</v>
      </c>
      <c r="AH206" s="102">
        <f>VLOOKUP($B206,'[38](914__New_v_Used'!$A$1:$B$4,2,0)</f>
        <v>52501144.340000004</v>
      </c>
      <c r="AK206" s="77">
        <f>AL206/$AL$208</f>
        <v>0.21584224979052741</v>
      </c>
      <c r="AL206" s="102">
        <f>VLOOKUP(B206,'[39](914__New_v_Used'!$A$2:$B$4,2,0)</f>
        <v>62482266.340000004</v>
      </c>
      <c r="AO206" s="77">
        <v>0.21874883772861753</v>
      </c>
      <c r="AP206" s="102">
        <v>70679065.309999958</v>
      </c>
    </row>
    <row r="207" spans="1:43" ht="13.5" thickBot="1">
      <c r="A207" s="107" t="s">
        <v>189</v>
      </c>
      <c r="E207" s="77"/>
      <c r="I207" s="77"/>
      <c r="M207" s="77"/>
      <c r="Q207" s="77"/>
      <c r="U207" s="77"/>
      <c r="Y207" s="77"/>
      <c r="AC207" s="77"/>
      <c r="AG207" s="77"/>
      <c r="AK207" s="77"/>
      <c r="AO207" s="77"/>
    </row>
    <row r="208" spans="1:43" ht="13.5" thickBot="1">
      <c r="A208" s="48"/>
      <c r="E208" s="78">
        <f>SUM(E205:E206)</f>
        <v>1</v>
      </c>
      <c r="F208" s="136">
        <f>SUM(F205:F206)</f>
        <v>98972900.76000002</v>
      </c>
      <c r="I208" s="78">
        <v>1</v>
      </c>
      <c r="J208" s="136">
        <v>122415113.53000005</v>
      </c>
      <c r="M208" s="78">
        <v>1</v>
      </c>
      <c r="N208" s="136">
        <v>137450609.88999999</v>
      </c>
      <c r="Q208" s="78">
        <v>0.99999999999999989</v>
      </c>
      <c r="R208" s="136">
        <v>154418920.70000008</v>
      </c>
      <c r="U208" s="78">
        <f>SUM(U205:U206)</f>
        <v>0.99999999999999989</v>
      </c>
      <c r="V208" s="136">
        <f>SUM(V205:V206)</f>
        <v>184802944.96999979</v>
      </c>
      <c r="Y208" s="78">
        <f>SUM(Y205:Y206)</f>
        <v>1</v>
      </c>
      <c r="Z208" s="136">
        <f>SUM(Z205:Z206)</f>
        <v>213516536.23999983</v>
      </c>
      <c r="AC208" s="78">
        <f>SUM(AC205:AC206)</f>
        <v>1</v>
      </c>
      <c r="AD208" s="136">
        <f>SUM(AD205:AD206)</f>
        <v>233023822</v>
      </c>
      <c r="AG208" s="78">
        <f>SUM(AG205:AG206)</f>
        <v>1</v>
      </c>
      <c r="AH208" s="136">
        <f>SUM(AH205:AH206)</f>
        <v>253388443.91000003</v>
      </c>
      <c r="AK208" s="78">
        <f>SUM(AK205:AK206)</f>
        <v>1</v>
      </c>
      <c r="AL208" s="136">
        <f>SUM(AL205:AL206)</f>
        <v>289481166.92000002</v>
      </c>
      <c r="AO208" s="78">
        <v>1</v>
      </c>
      <c r="AP208" s="136">
        <f>SUM(AP205:AP206)</f>
        <v>323106015.29999995</v>
      </c>
    </row>
    <row r="209" spans="1:42">
      <c r="A209" s="48"/>
      <c r="E209" s="77"/>
      <c r="I209" s="77"/>
      <c r="M209" s="77"/>
      <c r="Q209" s="77"/>
      <c r="U209" s="77"/>
      <c r="Y209" s="77"/>
      <c r="AC209" s="77"/>
      <c r="AG209" s="77"/>
      <c r="AK209" s="77"/>
      <c r="AO209" s="77"/>
    </row>
    <row r="210" spans="1:42">
      <c r="A210" s="48"/>
      <c r="B210" s="70" t="s">
        <v>190</v>
      </c>
      <c r="E210" s="77"/>
      <c r="I210" s="77"/>
      <c r="M210" s="77"/>
      <c r="Q210" s="77"/>
      <c r="U210" s="77"/>
      <c r="Y210" s="77"/>
      <c r="AC210" s="77"/>
      <c r="AG210" s="77"/>
      <c r="AK210" s="77"/>
      <c r="AO210" s="77"/>
    </row>
    <row r="211" spans="1:42">
      <c r="A211" s="107" t="s">
        <v>191</v>
      </c>
      <c r="B211" s="1" t="s">
        <v>191</v>
      </c>
      <c r="E211" s="77">
        <f>F211/F$214</f>
        <v>1.3012451389325122E-2</v>
      </c>
      <c r="F211" s="113">
        <f>IFERROR(VLOOKUP($B211,'[34]Loan Type'!$A$2:$C$4,3,FALSE),0)</f>
        <v>1287880.0599999998</v>
      </c>
      <c r="I211" s="77">
        <v>1.2785239214898441E-2</v>
      </c>
      <c r="J211" s="113">
        <v>1565106.5099999998</v>
      </c>
      <c r="M211" s="77">
        <v>1.2538661861007765E-2</v>
      </c>
      <c r="N211" s="113">
        <v>1723446.72</v>
      </c>
      <c r="Q211" s="77">
        <v>1.339572152572362E-2</v>
      </c>
      <c r="R211" s="113">
        <v>2068552.86</v>
      </c>
      <c r="U211" s="77">
        <f>V211/V$214</f>
        <v>1.2557678073673169E-2</v>
      </c>
      <c r="V211" s="113">
        <f>IFERROR(VLOOKUP($B211,'[35]Loan Type'!$A$2:$C$4,3,FALSE),0)</f>
        <v>2320695.89</v>
      </c>
      <c r="Y211" s="77">
        <f>Z211/Z$214</f>
        <v>1.2267346904952781E-2</v>
      </c>
      <c r="Z211" s="113">
        <f>IFERROR(VLOOKUP($B211,[29]Type!$A$4:$B$6,2,FALSE),0)</f>
        <v>2619281.42</v>
      </c>
      <c r="AC211" s="77">
        <f>AD211/AD$214</f>
        <v>1.3467564959946455E-2</v>
      </c>
      <c r="AD211" s="113">
        <f>IFERROR(VLOOKUP($B211,'[37](913__Product_Type'!$A$2:$B$4,2,FALSE),0)</f>
        <v>3138263.46</v>
      </c>
      <c r="AG211" s="77">
        <f>AH211/AH$214</f>
        <v>2.1570059729879812E-2</v>
      </c>
      <c r="AH211" s="113">
        <f>IFERROR(VLOOKUP($B211,'[38](913__Product_Type'!$A$1:$B$4,2,FALSE),0)</f>
        <v>5465603.8700000001</v>
      </c>
      <c r="AK211" s="77">
        <f>AL211/$AL$214</f>
        <v>2.2049551885922739E-2</v>
      </c>
      <c r="AL211" s="102">
        <f>VLOOKUP(A211,'[39](913__Product_Type'!$A$2:$B$4,2,0)</f>
        <v>6382930.0099999998</v>
      </c>
      <c r="AO211" s="77">
        <v>2.1883459097581191E-2</v>
      </c>
      <c r="AP211" s="102">
        <v>7070677.2700000005</v>
      </c>
    </row>
    <row r="212" spans="1:42">
      <c r="A212" s="107" t="s">
        <v>192</v>
      </c>
      <c r="B212" s="1" t="s">
        <v>192</v>
      </c>
      <c r="E212" s="77">
        <f>F212/F$214</f>
        <v>0.96693355105418244</v>
      </c>
      <c r="F212" s="113">
        <f>IFERROR(VLOOKUP($B212,'[34]Loan Type'!$A$2:$C$4,3,FALSE),0)</f>
        <v>95700218.39000003</v>
      </c>
      <c r="I212" s="77">
        <v>0.96751084146954347</v>
      </c>
      <c r="J212" s="113">
        <v>118437949.49999993</v>
      </c>
      <c r="M212" s="77">
        <v>0.96520413860784215</v>
      </c>
      <c r="N212" s="113">
        <v>132667897.52000001</v>
      </c>
      <c r="Q212" s="77">
        <v>0.96529727700654755</v>
      </c>
      <c r="R212" s="113">
        <v>149060163.67000011</v>
      </c>
      <c r="U212" s="77">
        <f>V212/V$214</f>
        <v>0.96761442778429996</v>
      </c>
      <c r="V212" s="113">
        <f>IFERROR(VLOOKUP($B212,'[35]Loan Type'!$A$2:$C$4,3,FALSE),0)</f>
        <v>178817995.85000017</v>
      </c>
      <c r="Y212" s="77">
        <f>Z212/Z$214</f>
        <v>0.96778311609425915</v>
      </c>
      <c r="Z212" s="113">
        <f>IFERROR(VLOOKUP($B212,[29]Type!$A$4:$B$6,2,FALSE),0)</f>
        <v>206637698.77999982</v>
      </c>
      <c r="AC212" s="77">
        <f>AD212/AD$214</f>
        <v>0.96666881053903575</v>
      </c>
      <c r="AD212" s="113">
        <f>IFERROR(VLOOKUP($B212,'[37](913__Product_Type'!$A$2:$B$4,2,FALSE),0)</f>
        <v>225256860.84</v>
      </c>
      <c r="AG212" s="77">
        <f>AH212/AH$214</f>
        <v>0.95729694115867703</v>
      </c>
      <c r="AH212" s="113">
        <f>IFERROR(VLOOKUP($B212,'[38](913__Product_Type'!$A$1:$B$4,2,FALSE),0)</f>
        <v>242567982.28</v>
      </c>
      <c r="AK212" s="77">
        <f>AL212/$AL$214</f>
        <v>0.95656949716706641</v>
      </c>
      <c r="AL212" s="102">
        <f>VLOOKUP(A212,'[39](913__Product_Type'!$A$2:$B$4,2,0)</f>
        <v>276908854.27999997</v>
      </c>
      <c r="AO212" s="77">
        <v>0.9550111290360741</v>
      </c>
      <c r="AP212" s="102">
        <v>308569840.47000039</v>
      </c>
    </row>
    <row r="213" spans="1:42" ht="13.5" thickBot="1">
      <c r="A213" s="107" t="s">
        <v>193</v>
      </c>
      <c r="B213" s="1" t="s">
        <v>193</v>
      </c>
      <c r="E213" s="77">
        <f>F213/F$214</f>
        <v>2.0053997556492342E-2</v>
      </c>
      <c r="F213" s="113">
        <f>IFERROR(VLOOKUP($B213,'[34]Loan Type'!$A$2:$C$4,3,FALSE),0)</f>
        <v>1984802.3099999998</v>
      </c>
      <c r="I213" s="77">
        <v>1.9703919315558073E-2</v>
      </c>
      <c r="J213" s="113">
        <v>2412057.52</v>
      </c>
      <c r="M213" s="77">
        <v>2.225719953115007E-2</v>
      </c>
      <c r="N213" s="113">
        <v>3059265.6499999994</v>
      </c>
      <c r="Q213" s="77">
        <v>2.1307001467728799E-2</v>
      </c>
      <c r="R213" s="113">
        <v>3290204.1699999995</v>
      </c>
      <c r="U213" s="77">
        <f>V213/V$214</f>
        <v>1.9827894142026972E-2</v>
      </c>
      <c r="V213" s="113">
        <f>IFERROR(VLOOKUP($B213,'[35]Loan Type'!$A$2:$C$4,3,FALSE),0)</f>
        <v>3664253.2299999991</v>
      </c>
      <c r="Y213" s="77">
        <f>Z213/Z$214</f>
        <v>1.9949537000788147E-2</v>
      </c>
      <c r="Z213" s="113">
        <f>IFERROR(VLOOKUP($B213,[29]Type!$A$4:$B$6,2,FALSE),0)</f>
        <v>4259556.0399999991</v>
      </c>
      <c r="AC213" s="77">
        <f>AD213/AD$214</f>
        <v>1.9863624501017755E-2</v>
      </c>
      <c r="AD213" s="113">
        <f>IFERROR(VLOOKUP($B213,'[37](913__Product_Type'!$A$2:$B$4,2,FALSE),0)</f>
        <v>4628697.7</v>
      </c>
      <c r="AG213" s="77">
        <f>AH213/AH$214</f>
        <v>2.1132999111443181E-2</v>
      </c>
      <c r="AH213" s="113">
        <f>IFERROR(VLOOKUP($B213,'[38](913__Product_Type'!$A$1:$B$4,2,FALSE),0)</f>
        <v>5354857.76</v>
      </c>
      <c r="AK213" s="77">
        <f>AL213/$AL$214</f>
        <v>2.1380950947010924E-2</v>
      </c>
      <c r="AL213" s="102">
        <f>VLOOKUP(A213,'[39](913__Product_Type'!$A$2:$B$4,2,0)</f>
        <v>6189382.6299999999</v>
      </c>
      <c r="AO213" s="77">
        <v>2.3105411866344759E-2</v>
      </c>
      <c r="AP213" s="102">
        <v>7465497.5599999996</v>
      </c>
    </row>
    <row r="214" spans="1:42" ht="13.5" thickBot="1">
      <c r="A214" s="48"/>
      <c r="E214" s="78">
        <f>SUM(E211:E213)</f>
        <v>1</v>
      </c>
      <c r="F214" s="120">
        <f>SUM(F211:F213)</f>
        <v>98972900.760000035</v>
      </c>
      <c r="I214" s="78">
        <v>1</v>
      </c>
      <c r="J214" s="120">
        <v>122415113.52999993</v>
      </c>
      <c r="M214" s="78">
        <v>0.99999999999999989</v>
      </c>
      <c r="N214" s="120">
        <v>137450609.89000002</v>
      </c>
      <c r="Q214" s="78">
        <v>1</v>
      </c>
      <c r="R214" s="120">
        <v>154418920.70000011</v>
      </c>
      <c r="U214" s="78">
        <f>SUM(U211:U213)</f>
        <v>1</v>
      </c>
      <c r="V214" s="120">
        <f>SUM(V211:V213)</f>
        <v>184802944.97000015</v>
      </c>
      <c r="Y214" s="78">
        <f>SUM(Y211:Y213)</f>
        <v>1</v>
      </c>
      <c r="Z214" s="120">
        <f>SUM(Z211:Z213)</f>
        <v>213516536.2399998</v>
      </c>
      <c r="AC214" s="78">
        <f>SUM(AC211:AC213)</f>
        <v>1</v>
      </c>
      <c r="AD214" s="120">
        <f>SUM(AD211:AD213)</f>
        <v>233023822</v>
      </c>
      <c r="AG214" s="78">
        <f>SUM(AG211:AG213)</f>
        <v>1</v>
      </c>
      <c r="AH214" s="120">
        <f>SUM(AH211:AH213)</f>
        <v>253388443.91</v>
      </c>
      <c r="AK214" s="78">
        <f>SUM(AK211:AK213)</f>
        <v>1</v>
      </c>
      <c r="AL214" s="120">
        <f>SUM(AL211:AL213)</f>
        <v>289481166.91999996</v>
      </c>
      <c r="AO214" s="78">
        <v>1</v>
      </c>
      <c r="AP214" s="120">
        <v>323106015.30000037</v>
      </c>
    </row>
    <row r="215" spans="1:42">
      <c r="A215" s="48"/>
      <c r="E215" s="77"/>
      <c r="I215" s="77"/>
      <c r="M215" s="77"/>
      <c r="Q215" s="77"/>
      <c r="U215" s="77"/>
      <c r="Y215" s="77"/>
      <c r="AC215" s="77"/>
      <c r="AG215" s="77"/>
      <c r="AK215" s="77"/>
      <c r="AO215" s="77"/>
    </row>
    <row r="216" spans="1:42">
      <c r="A216" s="48"/>
      <c r="B216" s="70" t="s">
        <v>194</v>
      </c>
      <c r="E216" s="77"/>
      <c r="I216" s="77"/>
      <c r="M216" s="77"/>
      <c r="Q216" s="77"/>
      <c r="U216" s="77"/>
      <c r="Y216" s="77"/>
      <c r="AC216" s="77"/>
      <c r="AG216" s="77"/>
      <c r="AK216" s="77"/>
      <c r="AO216" s="77"/>
    </row>
    <row r="217" spans="1:42">
      <c r="A217" s="48" t="s">
        <v>195</v>
      </c>
      <c r="B217" s="1" t="s">
        <v>195</v>
      </c>
      <c r="E217" s="77">
        <f>F217/F$219</f>
        <v>0.98490398827833658</v>
      </c>
      <c r="F217" s="113">
        <f>E19-F218</f>
        <v>97478804.690000042</v>
      </c>
      <c r="I217" s="77">
        <v>0.98519604248411796</v>
      </c>
      <c r="J217" s="113">
        <v>120602885.38999993</v>
      </c>
      <c r="M217" s="77">
        <v>0.98357155307053823</v>
      </c>
      <c r="N217" s="113">
        <v>135192509.84</v>
      </c>
      <c r="Q217" s="77">
        <v>0.98236980994518774</v>
      </c>
      <c r="R217" s="113">
        <v>151696485.77999994</v>
      </c>
      <c r="U217" s="77">
        <f>V217/V$219</f>
        <v>0.98022025460366247</v>
      </c>
      <c r="V217" s="113">
        <f>U19-V218</f>
        <v>181147589.77000019</v>
      </c>
      <c r="Y217" s="77">
        <f>Z217/Z$219</f>
        <v>0.98041906283408153</v>
      </c>
      <c r="Z217" s="113">
        <f>Y19-Z218</f>
        <v>209335682.35999987</v>
      </c>
      <c r="AC217" s="77">
        <f>AD217/AD$219</f>
        <v>0.98000615834032623</v>
      </c>
      <c r="AD217" s="113">
        <f>IFERROR(VLOOKUP($B217,'[37](916__Contract_by_Source'!$A$2:$B$3,2,FALSE),0)</f>
        <v>228364780.59999999</v>
      </c>
      <c r="AG217" s="77">
        <f>AH217/AH$219</f>
        <v>0.98107725961763648</v>
      </c>
      <c r="AH217" s="113">
        <f>IFERROR(VLOOKUP($B217,'[38](916__Contract_by_Source'!$A$1:$B$3,2,FALSE),0)</f>
        <v>248593640.16999999</v>
      </c>
      <c r="AK217" s="77">
        <f>AL217/$AL$219</f>
        <v>0.97573363602634189</v>
      </c>
      <c r="AL217" s="102">
        <f>VLOOKUP(B217,'[39](916__Contract_by_Source'!$A$2:$B$3,2,0)</f>
        <v>282456511.56</v>
      </c>
      <c r="AO217" s="77">
        <v>0.9766590860797465</v>
      </c>
      <c r="AP217" s="102">
        <v>315564425.60000002</v>
      </c>
    </row>
    <row r="218" spans="1:42" ht="13.5" thickBot="1">
      <c r="A218" s="48" t="s">
        <v>235</v>
      </c>
      <c r="B218" s="1" t="s">
        <v>196</v>
      </c>
      <c r="E218" s="77">
        <f>F218/F$219</f>
        <v>1.509601172166351E-2</v>
      </c>
      <c r="F218" s="113">
        <f>IFERROR(VLOOKUP($A218,[34]Source!$A$1:$C$226,3,FALSE),0)</f>
        <v>1494096.0699999998</v>
      </c>
      <c r="I218" s="77">
        <v>1.4803957515882074E-2</v>
      </c>
      <c r="J218" s="113">
        <v>1812228.14</v>
      </c>
      <c r="M218" s="77">
        <v>1.6428446929461639E-2</v>
      </c>
      <c r="N218" s="113">
        <v>2258100.0500000003</v>
      </c>
      <c r="Q218" s="77">
        <v>1.7630190054812377E-2</v>
      </c>
      <c r="R218" s="113">
        <v>2722434.92</v>
      </c>
      <c r="U218" s="77">
        <f>V218/V$219</f>
        <v>1.9779745396337645E-2</v>
      </c>
      <c r="V218" s="113">
        <f>IFERROR(VLOOKUP($A218,[35]Source!$A$2:$C$239,3,FALSE),0)</f>
        <v>3655355.2</v>
      </c>
      <c r="Y218" s="77">
        <f>Z218/Z$219</f>
        <v>1.9580937165918511E-2</v>
      </c>
      <c r="Z218" s="113">
        <f>IFERROR(VLOOKUP($A218,[29]Source!$A$4:$B$247,2,FALSE),0)</f>
        <v>4180853.88</v>
      </c>
      <c r="AC218" s="77">
        <f>AD218/AD$219</f>
        <v>1.9993841659673748E-2</v>
      </c>
      <c r="AD218" s="113">
        <f>IFERROR(VLOOKUP($B218,'[37](916__Contract_by_Source'!$A$2:$B$3,2,FALSE),0)</f>
        <v>4659041.4000000004</v>
      </c>
      <c r="AG218" s="77">
        <f>AH218/AH$219</f>
        <v>1.8922740382363478E-2</v>
      </c>
      <c r="AH218" s="113">
        <f>IFERROR(VLOOKUP($B218,'[38](916__Contract_by_Source'!$A$1:$B$3,2,FALSE),0)</f>
        <v>4794803.74</v>
      </c>
      <c r="AK218" s="77">
        <f>AL218/$AL$219</f>
        <v>2.4266363973658119E-2</v>
      </c>
      <c r="AL218" s="102">
        <f>VLOOKUP(B218,'[39](916__Contract_by_Source'!$A$2:$B$3,2,0)</f>
        <v>7024655.3600000003</v>
      </c>
      <c r="AO218" s="77">
        <v>2.3340913920253496E-2</v>
      </c>
      <c r="AP218" s="102">
        <v>7541589.6900000004</v>
      </c>
    </row>
    <row r="219" spans="1:42" ht="13.5" thickBot="1">
      <c r="A219" s="48"/>
      <c r="E219" s="78">
        <f>SUM(E217:E218)</f>
        <v>1</v>
      </c>
      <c r="F219" s="120">
        <f>SUM(F217:F218)</f>
        <v>98972900.760000035</v>
      </c>
      <c r="I219" s="78">
        <v>1</v>
      </c>
      <c r="J219" s="120">
        <v>122415113.52999993</v>
      </c>
      <c r="M219" s="78">
        <v>0.99999999999999989</v>
      </c>
      <c r="N219" s="120">
        <v>137450609.89000002</v>
      </c>
      <c r="Q219" s="78">
        <v>1.0000000000000002</v>
      </c>
      <c r="R219" s="120">
        <v>154418920.69999993</v>
      </c>
      <c r="U219" s="78">
        <f>SUM(U217:U218)</f>
        <v>1</v>
      </c>
      <c r="V219" s="120">
        <f>SUM(V217:V218)</f>
        <v>184802944.97000018</v>
      </c>
      <c r="Y219" s="78">
        <f>SUM(Y217:Y218)</f>
        <v>1</v>
      </c>
      <c r="Z219" s="120">
        <f>SUM(Z217:Z218)</f>
        <v>213516536.23999986</v>
      </c>
      <c r="AC219" s="78">
        <f>SUM(AC217:AC218)</f>
        <v>1</v>
      </c>
      <c r="AD219" s="120">
        <f>SUM(AD217:AD218)</f>
        <v>233023822</v>
      </c>
      <c r="AG219" s="78">
        <f>SUM(AG217:AG218)</f>
        <v>1</v>
      </c>
      <c r="AH219" s="120">
        <f>SUM(AH217:AH218)</f>
        <v>253388443.91</v>
      </c>
      <c r="AK219" s="78">
        <f>SUM(AK217:AK218)</f>
        <v>1</v>
      </c>
      <c r="AL219" s="120">
        <f>SUM(AL217:AL218)</f>
        <v>289481166.92000002</v>
      </c>
      <c r="AO219" s="78">
        <v>1</v>
      </c>
      <c r="AP219" s="120">
        <v>323106015.29000002</v>
      </c>
    </row>
    <row r="220" spans="1:42">
      <c r="A220" s="48"/>
      <c r="E220" s="77"/>
      <c r="I220" s="77"/>
      <c r="M220" s="77"/>
      <c r="Q220" s="77"/>
      <c r="U220" s="77"/>
      <c r="Y220" s="77"/>
      <c r="AC220" s="77"/>
      <c r="AG220" s="77"/>
      <c r="AK220" s="77"/>
      <c r="AO220" s="77"/>
    </row>
    <row r="221" spans="1:42">
      <c r="A221" s="48"/>
      <c r="B221" s="70" t="s">
        <v>197</v>
      </c>
      <c r="E221" s="77"/>
      <c r="I221" s="77"/>
      <c r="M221" s="77"/>
      <c r="Q221" s="77"/>
      <c r="U221" s="77"/>
      <c r="Y221" s="77"/>
      <c r="AC221" s="77"/>
      <c r="AG221" s="77"/>
      <c r="AK221" s="77"/>
      <c r="AO221" s="77"/>
    </row>
    <row r="222" spans="1:42">
      <c r="A222" s="107" t="s">
        <v>198</v>
      </c>
      <c r="B222" s="1" t="s">
        <v>198</v>
      </c>
      <c r="E222" s="77">
        <f t="shared" ref="E222:E227" si="69">F222/F$228</f>
        <v>6.1347155164455753E-3</v>
      </c>
      <c r="F222" s="113">
        <f>IFERROR(VLOOKUP($B222,[34]perm!$A$2:$C$7,3,FALSE),0)</f>
        <v>607170.59</v>
      </c>
      <c r="I222" s="77">
        <v>5.4803411985203066E-3</v>
      </c>
      <c r="J222" s="113">
        <v>670876.59</v>
      </c>
      <c r="M222" s="77">
        <v>6.8477317834620766E-3</v>
      </c>
      <c r="N222" s="113">
        <v>941224.90999999992</v>
      </c>
      <c r="Q222" s="77">
        <v>7.7924628312727199E-3</v>
      </c>
      <c r="R222" s="113">
        <v>1203303.7</v>
      </c>
      <c r="U222" s="77">
        <f t="shared" ref="U222:U227" si="70">V222/V$228</f>
        <v>6.6808796266770868E-3</v>
      </c>
      <c r="V222" s="113">
        <f>IFERROR(VLOOKUP($B222,'[28]Payment Frequency'!$A$4:$B$9,2,FALSE),0)</f>
        <v>1234646.23</v>
      </c>
      <c r="Y222" s="77">
        <f t="shared" ref="Y222:Y227" si="71">Z222/Z$228</f>
        <v>6.7934618814234149E-3</v>
      </c>
      <c r="Z222" s="113">
        <f>IFERROR(VLOOKUP($B222,[29]Frequency!$A$4:$B$9,2,FALSE),0)</f>
        <v>1450516.45</v>
      </c>
      <c r="AC222" s="77">
        <f t="shared" ref="AC222:AC227" si="72">AD222/AD$228</f>
        <v>5.8605222345035606E-3</v>
      </c>
      <c r="AD222" s="113">
        <f>IFERROR(VLOOKUP($B222,'[37](918__Payment_Frequency'!$A$2:$B$7,2,FALSE),0)</f>
        <v>1365641.29</v>
      </c>
      <c r="AG222" s="77">
        <f t="shared" ref="AG222:AG227" si="73">AH222/AH$228</f>
        <v>6.0447120096132874E-3</v>
      </c>
      <c r="AH222" s="113">
        <f>IFERROR(VLOOKUP($B222,'[38](918__Payment_Frequency'!$A$1:$B$7,2,FALSE),0)</f>
        <v>1531660.17</v>
      </c>
      <c r="AK222" s="77">
        <f>AL222/$AL$228</f>
        <v>5.3082686737429855E-3</v>
      </c>
      <c r="AL222" s="102">
        <f>VLOOKUP(B222,'[39](918__Payment_Frequency'!$A$2:$B$7,2,0)</f>
        <v>1536643.81</v>
      </c>
      <c r="AO222" s="77">
        <v>5.2379719963697039E-3</v>
      </c>
      <c r="AP222" s="102">
        <v>1692420.2599999995</v>
      </c>
    </row>
    <row r="223" spans="1:42">
      <c r="A223" s="107" t="s">
        <v>199</v>
      </c>
      <c r="B223" s="1" t="s">
        <v>199</v>
      </c>
      <c r="E223" s="77">
        <f t="shared" si="69"/>
        <v>0.7158456141626377</v>
      </c>
      <c r="F223" s="113">
        <f>IFERROR(VLOOKUP($B223,[34]perm!$A$2:$C$7,3,FALSE),0)</f>
        <v>70849316.929999977</v>
      </c>
      <c r="I223" s="77">
        <v>0.70222815035770192</v>
      </c>
      <c r="J223" s="113">
        <v>85963338.75000003</v>
      </c>
      <c r="M223" s="77">
        <v>0.67681116514833395</v>
      </c>
      <c r="N223" s="113">
        <v>93028107.430000022</v>
      </c>
      <c r="Q223" s="77">
        <v>0.66745685433352486</v>
      </c>
      <c r="R223" s="113">
        <v>103067967.06000006</v>
      </c>
      <c r="U223" s="77">
        <f t="shared" si="70"/>
        <v>0.6803048383801954</v>
      </c>
      <c r="V223" s="113">
        <f>IFERROR(VLOOKUP($B223,'[28]Payment Frequency'!$A$4:$B$9,2,FALSE),0)</f>
        <v>125722337.61000001</v>
      </c>
      <c r="Y223" s="77">
        <f t="shared" si="71"/>
        <v>0.68807137272432539</v>
      </c>
      <c r="Z223" s="113">
        <f>IFERROR(VLOOKUP($B223,[29]Frequency!$A$4:$B$9,2,FALSE),0)</f>
        <v>146914616.18999985</v>
      </c>
      <c r="AC223" s="77">
        <f t="shared" si="72"/>
        <v>0.66788066620931141</v>
      </c>
      <c r="AD223" s="113">
        <f>IFERROR(VLOOKUP($B223,'[37](918__Payment_Frequency'!$A$2:$B$7,2,FALSE),0)</f>
        <v>155632105.47999999</v>
      </c>
      <c r="AG223" s="77">
        <f t="shared" si="73"/>
        <v>0.65051204970715282</v>
      </c>
      <c r="AH223" s="113">
        <f>IFERROR(VLOOKUP($B223,'[38](918__Payment_Frequency'!$A$1:$B$7,2,FALSE),0)</f>
        <v>164832236.02000001</v>
      </c>
      <c r="AK223" s="77">
        <f t="shared" ref="AK223:AK227" si="74">AL223/$AL$228</f>
        <v>0.6544482681747511</v>
      </c>
      <c r="AL223" s="102">
        <f>VLOOKUP(B223,'[39](918__Payment_Frequency'!$A$2:$B$7,2,0)</f>
        <v>189450448.36000001</v>
      </c>
      <c r="AO223" s="77">
        <v>0.65621437772718549</v>
      </c>
      <c r="AP223" s="102">
        <v>212026812.76999977</v>
      </c>
    </row>
    <row r="224" spans="1:42">
      <c r="A224" s="107" t="s">
        <v>200</v>
      </c>
      <c r="B224" s="1" t="s">
        <v>200</v>
      </c>
      <c r="E224" s="77">
        <f t="shared" si="69"/>
        <v>0.19060903030159912</v>
      </c>
      <c r="F224" s="113">
        <f>IFERROR(VLOOKUP($B224,[34]perm!$A$2:$C$7,3,FALSE),0)</f>
        <v>18865128.639999997</v>
      </c>
      <c r="I224" s="77">
        <v>0.19150893565323318</v>
      </c>
      <c r="J224" s="113">
        <v>23443588.100000016</v>
      </c>
      <c r="M224" s="77">
        <v>0.20949502678121584</v>
      </c>
      <c r="N224" s="113">
        <v>28795219.200000003</v>
      </c>
      <c r="Q224" s="77">
        <v>0.2169748853192183</v>
      </c>
      <c r="R224" s="113">
        <v>33505027.609999973</v>
      </c>
      <c r="U224" s="77">
        <f t="shared" si="70"/>
        <v>0.20957484171200436</v>
      </c>
      <c r="V224" s="113">
        <f>IFERROR(VLOOKUP($B224,'[28]Payment Frequency'!$A$4:$B$9,2,FALSE),0)</f>
        <v>38730047.940000005</v>
      </c>
      <c r="Y224" s="77">
        <f t="shared" si="71"/>
        <v>0.20521745636950497</v>
      </c>
      <c r="Z224" s="113">
        <f>IFERROR(VLOOKUP($B224,[29]Frequency!$A$4:$B$9,2,FALSE),0)</f>
        <v>43817320.459999993</v>
      </c>
      <c r="AC224" s="77">
        <f t="shared" si="72"/>
        <v>0.21158094874952316</v>
      </c>
      <c r="AD224" s="113">
        <f>IFERROR(VLOOKUP($B224,'[37](918__Payment_Frequency'!$A$2:$B$7,2,FALSE),0)</f>
        <v>49303401.340000004</v>
      </c>
      <c r="AG224" s="77">
        <f t="shared" si="73"/>
        <v>0.22147487980917052</v>
      </c>
      <c r="AH224" s="113">
        <f>IFERROR(VLOOKUP($B224,'[38](918__Payment_Frequency'!$A$1:$B$7,2,FALSE),0)</f>
        <v>56119175.159999996</v>
      </c>
      <c r="AK224" s="77">
        <f t="shared" si="74"/>
        <v>0.2144842162984601</v>
      </c>
      <c r="AL224" s="102">
        <f>VLOOKUP(B224,'[39](918__Payment_Frequency'!$A$2:$B$7,2,0)</f>
        <v>62089141.219999902</v>
      </c>
      <c r="AO224" s="77">
        <v>0.21078233404836269</v>
      </c>
      <c r="AP224" s="102">
        <v>68105040.049999923</v>
      </c>
    </row>
    <row r="225" spans="1:43">
      <c r="A225" s="107" t="s">
        <v>201</v>
      </c>
      <c r="B225" s="1" t="s">
        <v>201</v>
      </c>
      <c r="E225" s="77">
        <f t="shared" si="69"/>
        <v>1.416333197507467E-2</v>
      </c>
      <c r="F225" s="113">
        <f>IFERROR(VLOOKUP($B225,[34]perm!$A$2:$C$7,3,FALSE),0)</f>
        <v>1401786.0499999998</v>
      </c>
      <c r="I225" s="77">
        <v>1.3563835641855482E-2</v>
      </c>
      <c r="J225" s="113">
        <v>1660418.48</v>
      </c>
      <c r="M225" s="77">
        <v>1.3675706724796111E-2</v>
      </c>
      <c r="N225" s="113">
        <v>1879734.2300000002</v>
      </c>
      <c r="Q225" s="77">
        <v>1.4022819031398653E-2</v>
      </c>
      <c r="R225" s="113">
        <v>2165388.58</v>
      </c>
      <c r="U225" s="77">
        <f t="shared" si="70"/>
        <v>1.3041444985583121E-2</v>
      </c>
      <c r="V225" s="113">
        <f>IFERROR(VLOOKUP($B225,'[28]Payment Frequency'!$A$4:$B$9,2,FALSE),0)</f>
        <v>2410097.4400000004</v>
      </c>
      <c r="Y225" s="77">
        <f t="shared" si="71"/>
        <v>1.2608312158895308E-2</v>
      </c>
      <c r="Z225" s="113">
        <f>IFERROR(VLOOKUP($B225,[29]Frequency!$A$4:$B$9,2,FALSE),0)</f>
        <v>2692083.1400000006</v>
      </c>
      <c r="AC225" s="77">
        <f t="shared" si="72"/>
        <v>1.4315790211354443E-2</v>
      </c>
      <c r="AD225" s="113">
        <f>IFERROR(VLOOKUP($B225,'[37](918__Payment_Frequency'!$A$2:$B$7,2,FALSE),0)</f>
        <v>3335920.15</v>
      </c>
      <c r="AG225" s="77">
        <f t="shared" si="73"/>
        <v>1.5644607381574256E-2</v>
      </c>
      <c r="AH225" s="113">
        <f>IFERROR(VLOOKUP($B225,'[38](918__Payment_Frequency'!$A$1:$B$7,2,FALSE),0)</f>
        <v>3964162.72</v>
      </c>
      <c r="AK225" s="77">
        <f t="shared" si="74"/>
        <v>1.5129238722498101E-2</v>
      </c>
      <c r="AL225" s="102">
        <f>VLOOKUP(B225,'[39](918__Payment_Frequency'!$A$2:$B$7,2,0)</f>
        <v>4379629.68</v>
      </c>
      <c r="AO225" s="77">
        <v>1.5363444829063211E-2</v>
      </c>
      <c r="AP225" s="102">
        <v>4964021.4399999995</v>
      </c>
    </row>
    <row r="226" spans="1:43">
      <c r="A226" s="107" t="s">
        <v>202</v>
      </c>
      <c r="B226" s="1" t="s">
        <v>202</v>
      </c>
      <c r="E226" s="77">
        <f t="shared" si="69"/>
        <v>5.7341961652332213E-2</v>
      </c>
      <c r="F226" s="113">
        <f>IFERROR(VLOOKUP($B226,[34]perm!$A$2:$C$7,3,FALSE),0)</f>
        <v>5675300.2800000003</v>
      </c>
      <c r="I226" s="77">
        <v>7.5692881154982641E-2</v>
      </c>
      <c r="J226" s="113">
        <v>9265952.6400000025</v>
      </c>
      <c r="M226" s="77">
        <v>8.0844051466143665E-2</v>
      </c>
      <c r="N226" s="113">
        <v>11112064.179999996</v>
      </c>
      <c r="Q226" s="77">
        <v>8.1556714377424011E-2</v>
      </c>
      <c r="R226" s="113">
        <v>12593899.809999993</v>
      </c>
      <c r="U226" s="77">
        <f t="shared" si="70"/>
        <v>7.9270512233331106E-2</v>
      </c>
      <c r="V226" s="113">
        <f>IFERROR(VLOOKUP($B226,'[28]Payment Frequency'!$A$4:$B$9,2,FALSE),0)</f>
        <v>14649424.110000001</v>
      </c>
      <c r="Y226" s="77">
        <f t="shared" si="71"/>
        <v>7.6256084548404948E-2</v>
      </c>
      <c r="Z226" s="113">
        <f>IFERROR(VLOOKUP($B226,[29]Frequency!$A$4:$B$9,2,FALSE),0)</f>
        <v>16281935.039999997</v>
      </c>
      <c r="AC226" s="77">
        <f t="shared" si="72"/>
        <v>8.7431268765302453E-2</v>
      </c>
      <c r="AD226" s="113">
        <f>IFERROR(VLOOKUP($B226,'[37](918__Payment_Frequency'!$A$2:$B$7,2,FALSE),0)</f>
        <v>20373568.41</v>
      </c>
      <c r="AG226" s="77">
        <f t="shared" si="73"/>
        <v>9.3461113634730322E-2</v>
      </c>
      <c r="AH226" s="113">
        <f>IFERROR(VLOOKUP($B226,'[38](918__Payment_Frequency'!$A$1:$B$7,2,FALSE),0)</f>
        <v>23681966.149999999</v>
      </c>
      <c r="AK226" s="77">
        <f t="shared" si="74"/>
        <v>9.8320771754611805E-2</v>
      </c>
      <c r="AL226" s="102">
        <f>VLOOKUP(B226,'[39](918__Payment_Frequency'!$A$2:$B$7,2,0)</f>
        <v>28462011.739999998</v>
      </c>
      <c r="AO226" s="77">
        <v>0.10030953372968669</v>
      </c>
      <c r="AP226" s="102">
        <v>32410613.739999987</v>
      </c>
    </row>
    <row r="227" spans="1:43" ht="13.5" thickBot="1">
      <c r="A227" s="107" t="s">
        <v>203</v>
      </c>
      <c r="B227" s="1" t="s">
        <v>203</v>
      </c>
      <c r="E227" s="77">
        <f t="shared" si="69"/>
        <v>1.5905346391910678E-2</v>
      </c>
      <c r="F227" s="113">
        <f>IFERROR(VLOOKUP($B227,[34]perm!$A$2:$C$7,3,FALSE),0)</f>
        <v>1574198.2699999993</v>
      </c>
      <c r="I227" s="77">
        <v>1.1525855993706395E-2</v>
      </c>
      <c r="J227" s="113">
        <v>1410938.97</v>
      </c>
      <c r="M227" s="77">
        <v>1.2326318096048425E-2</v>
      </c>
      <c r="N227" s="113">
        <v>1694259.94</v>
      </c>
      <c r="Q227" s="77">
        <v>1.2196264107161316E-2</v>
      </c>
      <c r="R227" s="113">
        <v>1883333.9400000002</v>
      </c>
      <c r="U227" s="77">
        <f t="shared" si="70"/>
        <v>1.1127483062208907E-2</v>
      </c>
      <c r="V227" s="113">
        <f>IFERROR(VLOOKUP($B227,'[28]Payment Frequency'!$A$4:$B$9,2,FALSE),0)</f>
        <v>2056391.64</v>
      </c>
      <c r="Y227" s="77">
        <f t="shared" si="71"/>
        <v>1.1053312317446023E-2</v>
      </c>
      <c r="Z227" s="113">
        <f>IFERROR(VLOOKUP($B227,[29]Frequency!$A$4:$B$9,2,FALSE),0)</f>
        <v>2360064.9600000004</v>
      </c>
      <c r="AC227" s="77">
        <f t="shared" si="72"/>
        <v>1.2930803830004986E-2</v>
      </c>
      <c r="AD227" s="113">
        <f>IFERROR(VLOOKUP($B227,'[37](918__Payment_Frequency'!$A$2:$B$7,2,FALSE),0)</f>
        <v>3013185.33</v>
      </c>
      <c r="AG227" s="77">
        <f t="shared" si="73"/>
        <v>1.2862637457758876E-2</v>
      </c>
      <c r="AH227" s="113">
        <f>IFERROR(VLOOKUP($B227,'[38](918__Payment_Frequency'!$A$1:$B$7,2,FALSE),0)</f>
        <v>3259243.69</v>
      </c>
      <c r="AK227" s="77">
        <f t="shared" si="74"/>
        <v>1.2309236375935777E-2</v>
      </c>
      <c r="AL227" s="102">
        <f>VLOOKUP(B227,'[39](918__Payment_Frequency'!$A$2:$B$7,2,0)</f>
        <v>3563292.11</v>
      </c>
      <c r="AO227" s="77">
        <v>1.2092337669332159E-2</v>
      </c>
      <c r="AP227" s="102">
        <v>3907107.0399999996</v>
      </c>
    </row>
    <row r="228" spans="1:43" ht="13.5" thickBot="1">
      <c r="A228" s="48"/>
      <c r="E228" s="78">
        <f>SUM(E222:E227)</f>
        <v>1</v>
      </c>
      <c r="F228" s="120">
        <f>SUM(F222:F227)</f>
        <v>98972900.759999976</v>
      </c>
      <c r="I228" s="78">
        <v>0.99999999999999978</v>
      </c>
      <c r="J228" s="120">
        <v>122415113.53000006</v>
      </c>
      <c r="M228" s="78">
        <v>1.0000000000000002</v>
      </c>
      <c r="N228" s="120">
        <v>137450609.89000002</v>
      </c>
      <c r="Q228" s="78">
        <v>1</v>
      </c>
      <c r="R228" s="120">
        <v>154418920.70000005</v>
      </c>
      <c r="U228" s="78">
        <f>SUM(U222:U227)</f>
        <v>1</v>
      </c>
      <c r="V228" s="120">
        <f>SUM(V222:V227)</f>
        <v>184802944.97000003</v>
      </c>
      <c r="Y228" s="78">
        <f>SUM(Y222:Y227)</f>
        <v>1</v>
      </c>
      <c r="Z228" s="120">
        <f>SUM(Z222:Z227)</f>
        <v>213516536.23999983</v>
      </c>
      <c r="AC228" s="78">
        <f>SUM(AC222:AC227)</f>
        <v>1</v>
      </c>
      <c r="AD228" s="120">
        <f>SUM(AD222:AD227)</f>
        <v>233023822</v>
      </c>
      <c r="AG228" s="78">
        <f>SUM(AG222:AG227)</f>
        <v>1</v>
      </c>
      <c r="AH228" s="120">
        <f>SUM(AH222:AH227)</f>
        <v>253388443.91</v>
      </c>
      <c r="AK228" s="78">
        <f>SUM(AK222:AK227)</f>
        <v>0.99999999999999989</v>
      </c>
      <c r="AL228" s="120">
        <f>SUM(AL222:AL227)</f>
        <v>289481166.91999996</v>
      </c>
      <c r="AO228" s="78">
        <v>0.99999999999999989</v>
      </c>
      <c r="AP228" s="120">
        <v>323106015.29999971</v>
      </c>
    </row>
    <row r="229" spans="1:43">
      <c r="A229" s="48"/>
      <c r="E229" s="77"/>
      <c r="I229" s="77"/>
      <c r="M229" s="77"/>
      <c r="Q229" s="77"/>
      <c r="U229" s="77"/>
      <c r="Y229" s="77"/>
      <c r="AC229" s="77"/>
      <c r="AG229" s="77"/>
      <c r="AK229" s="77"/>
      <c r="AO229" s="77"/>
    </row>
    <row r="230" spans="1:43">
      <c r="A230" s="106"/>
      <c r="B230" s="70" t="s">
        <v>204</v>
      </c>
      <c r="E230" s="77"/>
      <c r="I230" s="77"/>
      <c r="M230" s="77"/>
      <c r="Q230" s="77"/>
      <c r="U230" s="77"/>
      <c r="Y230" s="77"/>
      <c r="AC230" s="77"/>
      <c r="AG230" s="77"/>
      <c r="AK230" s="77"/>
      <c r="AO230" s="77"/>
    </row>
    <row r="231" spans="1:43">
      <c r="A231" s="107" t="s">
        <v>296</v>
      </c>
      <c r="B231" s="1" t="s">
        <v>205</v>
      </c>
      <c r="E231" s="77">
        <f t="shared" ref="E231:E240" si="75">F231/F$241</f>
        <v>1.3843815726109871E-3</v>
      </c>
      <c r="F231" s="113">
        <v>137016.26</v>
      </c>
      <c r="I231" s="77">
        <v>1.2934657775013707E-3</v>
      </c>
      <c r="J231" s="113">
        <v>158339.76</v>
      </c>
      <c r="M231" s="77">
        <f>N231/$N$241</f>
        <v>1.8652709522728177E-3</v>
      </c>
      <c r="N231" s="113">
        <v>256382.63</v>
      </c>
      <c r="Q231" s="77">
        <v>1.8376904767473878E-3</v>
      </c>
      <c r="R231" s="113">
        <v>283774.18</v>
      </c>
      <c r="U231" s="77">
        <f t="shared" ref="U231:U240" si="76">V231/V$241</f>
        <v>0</v>
      </c>
      <c r="V231" s="113">
        <f>IFERROR(VLOOKUP($A231,[28]Yield!$A$4:$B$13,2,FALSE),0)</f>
        <v>0</v>
      </c>
      <c r="Y231" s="77">
        <f t="shared" ref="Y231:Y240" si="77">Z231/Z$241</f>
        <v>0</v>
      </c>
      <c r="Z231" s="113">
        <f>IFERROR(VLOOKUP($A231,[29]Yield!$A$4:$B$13,2,FALSE),0)</f>
        <v>0</v>
      </c>
      <c r="AC231" s="77">
        <f t="shared" ref="AC231:AC240" si="78">AD231/AD$241</f>
        <v>0</v>
      </c>
      <c r="AD231" s="113">
        <f>IFERROR(VLOOKUP($B231,'[37](911__CONTRACT_YIELD'!$A$2:$D$10,4,FALSE),0)</f>
        <v>0</v>
      </c>
      <c r="AG231" s="77">
        <f t="shared" ref="AG231:AG240" si="79">AH231/AH$241</f>
        <v>0</v>
      </c>
      <c r="AH231" s="113">
        <f>IFERROR(VLOOKUP($B231,'[38](911__CONTRACT_YIELD'!$A$1:$D$10,4,FALSE),0)</f>
        <v>0</v>
      </c>
      <c r="AK231" s="77">
        <f>AL231/$AL$241</f>
        <v>0</v>
      </c>
      <c r="AL231" s="102">
        <v>0</v>
      </c>
      <c r="AO231" s="77">
        <v>4.7287193603665475E-3</v>
      </c>
      <c r="AP231" s="102">
        <v>1527877.6700000004</v>
      </c>
    </row>
    <row r="232" spans="1:43">
      <c r="A232" s="123" t="s">
        <v>286</v>
      </c>
      <c r="B232" s="1" t="s">
        <v>206</v>
      </c>
      <c r="E232" s="77">
        <f t="shared" si="75"/>
        <v>9.4296013639440946E-3</v>
      </c>
      <c r="F232" s="113">
        <v>933274.99999999988</v>
      </c>
      <c r="I232" s="77">
        <v>1.0523037579704646E-2</v>
      </c>
      <c r="J232" s="113">
        <v>1288178.8400000005</v>
      </c>
      <c r="M232" s="77">
        <f t="shared" ref="M232:M240" si="80">N232/$N$241</f>
        <v>1.27522280286915E-2</v>
      </c>
      <c r="N232" s="113">
        <v>1752801.52</v>
      </c>
      <c r="Q232" s="77">
        <v>1.4642022102930037E-2</v>
      </c>
      <c r="R232" s="113">
        <v>2261005.25</v>
      </c>
      <c r="U232" s="77">
        <f t="shared" si="76"/>
        <v>1.6105107506426609E-2</v>
      </c>
      <c r="V232" s="113">
        <f>IFERROR(VLOOKUP($A232,[28]Yield!$A$4:$B$13,2,FALSE),0)</f>
        <v>2970410.459999999</v>
      </c>
      <c r="Y232" s="77">
        <f t="shared" si="77"/>
        <v>1.6762837336846647E-2</v>
      </c>
      <c r="Z232" s="113">
        <f>IFERROR(VLOOKUP($A232,[29]Yield!$A$4:$B$13,2,FALSE),0)</f>
        <v>3571262.3399999985</v>
      </c>
      <c r="AC232" s="77">
        <f t="shared" si="78"/>
        <v>2.0482205334354183E-2</v>
      </c>
      <c r="AD232" s="113">
        <f>IFERROR(VLOOKUP($B232,'[37](911__CONTRACT_YIELD'!$A$2:$D$10,4,FALSE),0)</f>
        <v>4772841.7699999996</v>
      </c>
      <c r="AG232" s="77">
        <f t="shared" si="79"/>
        <v>2.3262066213617798E-2</v>
      </c>
      <c r="AH232" s="113">
        <f>IFERROR(VLOOKUP($B232,'[38](911__CONTRACT_YIELD'!$A$1:$D$10,4,FALSE),0)</f>
        <v>5894338.7599999998</v>
      </c>
      <c r="AK232" s="77">
        <f t="shared" ref="AK232:AK240" si="81">AL232/$AL$241</f>
        <v>2.4301613555206266E-2</v>
      </c>
      <c r="AL232" s="102">
        <f>VLOOKUP(B232,'[39](911__CONTRACT_YIELD'!$A$2:$D$10,4,0)</f>
        <v>7034859.4500000002</v>
      </c>
      <c r="AO232" s="77">
        <v>2.1620523850395812E-2</v>
      </c>
      <c r="AP232" s="102">
        <v>6985721.3100000061</v>
      </c>
    </row>
    <row r="233" spans="1:43">
      <c r="A233" s="123" t="s">
        <v>287</v>
      </c>
      <c r="B233" s="1" t="s">
        <v>207</v>
      </c>
      <c r="E233" s="77">
        <f t="shared" si="75"/>
        <v>9.3209577057565482E-2</v>
      </c>
      <c r="F233" s="113">
        <v>9225222.2200000044</v>
      </c>
      <c r="I233" s="77">
        <v>0.10460455511371049</v>
      </c>
      <c r="J233" s="113">
        <v>12805178.49000001</v>
      </c>
      <c r="M233" s="77">
        <f t="shared" si="80"/>
        <v>0.10404981266685889</v>
      </c>
      <c r="N233" s="113">
        <v>14301710.21000001</v>
      </c>
      <c r="Q233" s="77">
        <v>0.10270686719027178</v>
      </c>
      <c r="R233" s="113">
        <v>15859883.580000006</v>
      </c>
      <c r="U233" s="77">
        <f t="shared" si="76"/>
        <v>0.10529374439035365</v>
      </c>
      <c r="V233" s="113">
        <f>IFERROR(VLOOKUP($A233,[28]Yield!$A$4:$B$13,2,FALSE),0)</f>
        <v>19420276.429999996</v>
      </c>
      <c r="Y233" s="77">
        <f t="shared" si="77"/>
        <v>0.11152195430340084</v>
      </c>
      <c r="Z233" s="113">
        <f>IFERROR(VLOOKUP($A233,[29]Yield!$A$4:$B$13,2,FALSE),0)</f>
        <v>23759352.160000008</v>
      </c>
      <c r="AC233" s="77">
        <f t="shared" si="78"/>
        <v>0.11053006202945208</v>
      </c>
      <c r="AD233" s="113">
        <f>IFERROR(VLOOKUP($B233,'[37](911__CONTRACT_YIELD'!$A$2:$D$10,4,FALSE),0)</f>
        <v>25756137.5</v>
      </c>
      <c r="AG233" s="77">
        <f t="shared" si="79"/>
        <v>0.11476671603985619</v>
      </c>
      <c r="AH233" s="113">
        <f>IFERROR(VLOOKUP($B233,'[38](911__CONTRACT_YIELD'!$A$1:$D$10,4,FALSE),0)</f>
        <v>29080559.59</v>
      </c>
      <c r="AK233" s="77">
        <f t="shared" si="81"/>
        <v>0.11504780733871997</v>
      </c>
      <c r="AL233" s="102">
        <f>VLOOKUP(B233,'[39](911__CONTRACT_YIELD'!$A$2:$D$10,4,0)</f>
        <v>33304173.52</v>
      </c>
      <c r="AO233" s="77">
        <v>0.11655473425659865</v>
      </c>
      <c r="AP233" s="102">
        <v>37659535.750000007</v>
      </c>
    </row>
    <row r="234" spans="1:43">
      <c r="A234" s="123" t="s">
        <v>288</v>
      </c>
      <c r="B234" s="1" t="s">
        <v>208</v>
      </c>
      <c r="E234" s="77">
        <f t="shared" si="75"/>
        <v>0.26475853368733782</v>
      </c>
      <c r="F234" s="113">
        <v>26203920.080000009</v>
      </c>
      <c r="I234" s="77">
        <v>0.26796821735545706</v>
      </c>
      <c r="J234" s="113">
        <v>32803359.749999989</v>
      </c>
      <c r="M234" s="77">
        <f t="shared" si="80"/>
        <v>0.26814880311914491</v>
      </c>
      <c r="N234" s="113">
        <v>36857216.530000024</v>
      </c>
      <c r="Q234" s="77">
        <v>0.26462190957406428</v>
      </c>
      <c r="R234" s="113">
        <v>40862629.669999994</v>
      </c>
      <c r="U234" s="77">
        <f t="shared" si="76"/>
        <v>0.26476220494647751</v>
      </c>
      <c r="V234" s="113">
        <f>IFERROR(VLOOKUP($A234,[28]Yield!$A$4:$B$13,2,FALSE),0)</f>
        <v>48832485.140000023</v>
      </c>
      <c r="Y234" s="77">
        <f t="shared" si="77"/>
        <v>0.26999314033928029</v>
      </c>
      <c r="Z234" s="113">
        <f>IFERROR(VLOOKUP($A234,[29]Yield!$A$4:$B$13,2,FALSE),0)</f>
        <v>57521069.660000071</v>
      </c>
      <c r="AC234" s="77">
        <f t="shared" si="78"/>
        <v>0.2704330619467738</v>
      </c>
      <c r="AD234" s="113">
        <f>IFERROR(VLOOKUP($B234,'[37](911__CONTRACT_YIELD'!$A$2:$D$10,4,FALSE),0)</f>
        <v>63017345.689999998</v>
      </c>
      <c r="AG234" s="77">
        <f t="shared" si="79"/>
        <v>0.26569721649939465</v>
      </c>
      <c r="AH234" s="113">
        <f>IFERROR(VLOOKUP($B234,'[38](911__CONTRACT_YIELD'!$A$1:$D$10,4,FALSE),0)</f>
        <v>67324604.239999995</v>
      </c>
      <c r="AK234" s="77">
        <f t="shared" si="81"/>
        <v>0.2647080939506391</v>
      </c>
      <c r="AL234" s="102">
        <f>VLOOKUP(B234,'[39](911__CONTRACT_YIELD'!$A$2:$D$10,4,0)</f>
        <v>76628007.930000007</v>
      </c>
      <c r="AO234" s="77">
        <v>0.26437240798716871</v>
      </c>
      <c r="AP234" s="102">
        <v>85420315.299999997</v>
      </c>
    </row>
    <row r="235" spans="1:43">
      <c r="A235" s="123" t="s">
        <v>289</v>
      </c>
      <c r="B235" s="1" t="s">
        <v>209</v>
      </c>
      <c r="E235" s="77">
        <f t="shared" si="75"/>
        <v>0.30091642541850872</v>
      </c>
      <c r="F235" s="113">
        <v>29782571.510000017</v>
      </c>
      <c r="I235" s="77">
        <v>0.29297620069772456</v>
      </c>
      <c r="J235" s="113">
        <v>35864714.870000012</v>
      </c>
      <c r="M235" s="77">
        <f t="shared" si="80"/>
        <v>0.28622064668526581</v>
      </c>
      <c r="N235" s="113">
        <v>39341202.450000018</v>
      </c>
      <c r="Q235" s="77">
        <v>0.27781532169457746</v>
      </c>
      <c r="R235" s="113">
        <v>42899942.129999936</v>
      </c>
      <c r="U235" s="77">
        <f t="shared" si="76"/>
        <v>0.27026656403861465</v>
      </c>
      <c r="V235" s="113">
        <f>IFERROR(VLOOKUP($A235,[28]Yield!$A$4:$B$13,2,FALSE),0)</f>
        <v>49847703.80999995</v>
      </c>
      <c r="Y235" s="77">
        <f t="shared" si="77"/>
        <v>0.26616678257747439</v>
      </c>
      <c r="Z235" s="113">
        <f>IFERROR(VLOOKUP($A235,[29]Yield!$A$4:$B$13,2,FALSE),0)</f>
        <v>56705877.870000005</v>
      </c>
      <c r="AC235" s="77">
        <f t="shared" si="78"/>
        <v>0.26358951871452868</v>
      </c>
      <c r="AD235" s="113">
        <f>IFERROR(VLOOKUP($B235,'[37](911__CONTRACT_YIELD'!$A$2:$D$10,4,FALSE),0)</f>
        <v>61422637.090000004</v>
      </c>
      <c r="AG235" s="77">
        <f t="shared" si="79"/>
        <v>0.2591796342272269</v>
      </c>
      <c r="AH235" s="113">
        <f>IFERROR(VLOOKUP($B235,'[38](911__CONTRACT_YIELD'!$A$1:$D$10,4,FALSE),0)</f>
        <v>65673124.210000001</v>
      </c>
      <c r="AK235" s="77">
        <f t="shared" si="81"/>
        <v>0.25318821642119144</v>
      </c>
      <c r="AL235" s="102">
        <f>VLOOKUP(B235,'[39](911__CONTRACT_YIELD'!$A$2:$D$10,4,0)</f>
        <v>73293220.340000004</v>
      </c>
      <c r="AO235" s="77">
        <v>0.24968264572572318</v>
      </c>
      <c r="AP235" s="102">
        <v>80673964.750000015</v>
      </c>
    </row>
    <row r="236" spans="1:43">
      <c r="A236" s="123" t="s">
        <v>290</v>
      </c>
      <c r="B236" s="1" t="s">
        <v>210</v>
      </c>
      <c r="E236" s="77">
        <f t="shared" si="75"/>
        <v>0.1686348528924333</v>
      </c>
      <c r="F236" s="113">
        <v>16690280.560000006</v>
      </c>
      <c r="I236" s="77">
        <v>0.16110094065441496</v>
      </c>
      <c r="J236" s="113">
        <v>19721189.939999998</v>
      </c>
      <c r="M236" s="77">
        <f t="shared" si="80"/>
        <v>0.16113135116478874</v>
      </c>
      <c r="N236" s="113">
        <v>22147602.489999987</v>
      </c>
      <c r="Q236" s="77">
        <v>0.16575518507687659</v>
      </c>
      <c r="R236" s="113">
        <v>25595736.780000024</v>
      </c>
      <c r="U236" s="77">
        <f t="shared" si="76"/>
        <v>0.17196653072330265</v>
      </c>
      <c r="V236" s="113">
        <f>IFERROR(VLOOKUP($A236,[28]Yield!$A$4:$B$13,2,FALSE),0)</f>
        <v>31717340.690000013</v>
      </c>
      <c r="Y236" s="77">
        <f t="shared" si="77"/>
        <v>0.16558872122373774</v>
      </c>
      <c r="Z236" s="113">
        <f>IFERROR(VLOOKUP($A236,[29]Yield!$A$4:$B$13,2,FALSE),0)</f>
        <v>35278082.830000028</v>
      </c>
      <c r="AC236" s="77">
        <f t="shared" si="78"/>
        <v>0.16438484049068597</v>
      </c>
      <c r="AD236" s="113">
        <f>IFERROR(VLOOKUP($B236,'[37](911__CONTRACT_YIELD'!$A$2:$D$10,4,FALSE),0)</f>
        <v>38305583.810000002</v>
      </c>
      <c r="AG236" s="77">
        <f t="shared" si="79"/>
        <v>0.16165441244253781</v>
      </c>
      <c r="AH236" s="113">
        <f>IFERROR(VLOOKUP($B236,'[38](911__CONTRACT_YIELD'!$A$1:$D$10,4,FALSE),0)</f>
        <v>40961360.020000003</v>
      </c>
      <c r="AK236" s="77">
        <f t="shared" si="81"/>
        <v>0.16486261502873176</v>
      </c>
      <c r="AL236" s="102">
        <f>VLOOKUP(B236,'[39](911__CONTRACT_YIELD'!$A$2:$D$10,4,0)</f>
        <v>47724622.18</v>
      </c>
      <c r="AO236" s="77">
        <v>0.16484533279439686</v>
      </c>
      <c r="AP236" s="102">
        <v>53262518.619999997</v>
      </c>
    </row>
    <row r="237" spans="1:43">
      <c r="A237" s="123" t="s">
        <v>291</v>
      </c>
      <c r="B237" s="1" t="s">
        <v>211</v>
      </c>
      <c r="E237" s="77">
        <f t="shared" si="75"/>
        <v>8.0408048252500197E-2</v>
      </c>
      <c r="F237" s="113">
        <v>7958217.7799999965</v>
      </c>
      <c r="I237" s="77">
        <v>8.1543755604602614E-2</v>
      </c>
      <c r="J237" s="113">
        <v>9982188.1000000015</v>
      </c>
      <c r="M237" s="77">
        <f t="shared" si="80"/>
        <v>7.9151079276451569E-2</v>
      </c>
      <c r="N237" s="113">
        <v>10879364.120000014</v>
      </c>
      <c r="Q237" s="77">
        <v>8.1003161745321087E-2</v>
      </c>
      <c r="R237" s="113">
        <v>12508420.810000008</v>
      </c>
      <c r="U237" s="77">
        <f t="shared" si="76"/>
        <v>8.1404509824937979E-2</v>
      </c>
      <c r="V237" s="113">
        <f>IFERROR(VLOOKUP($A237,[28]Yield!$A$4:$B$13,2,FALSE),0)</f>
        <v>15014169.1</v>
      </c>
      <c r="Y237" s="77">
        <f t="shared" si="77"/>
        <v>8.2107422146124709E-2</v>
      </c>
      <c r="Z237" s="113">
        <f>IFERROR(VLOOKUP($A237,[29]Yield!$A$4:$B$13,2,FALSE),0)</f>
        <v>17492691.639999989</v>
      </c>
      <c r="AC237" s="77">
        <f t="shared" si="78"/>
        <v>8.3785984421798729E-2</v>
      </c>
      <c r="AD237" s="113">
        <f>IFERROR(VLOOKUP($B237,'[37](911__CONTRACT_YIELD'!$A$2:$D$10,4,FALSE),0)</f>
        <v>19524130.32</v>
      </c>
      <c r="AG237" s="77">
        <f t="shared" si="79"/>
        <v>8.7669903951461528E-2</v>
      </c>
      <c r="AH237" s="113">
        <f>IFERROR(VLOOKUP($B237,'[38](911__CONTRACT_YIELD'!$A$1:$D$10,4,FALSE),0)</f>
        <v>22214540.539999999</v>
      </c>
      <c r="AK237" s="77">
        <f t="shared" si="81"/>
        <v>9.207456365327546E-2</v>
      </c>
      <c r="AL237" s="102">
        <f>VLOOKUP(B237,'[39](911__CONTRACT_YIELD'!$A$2:$D$10,4,0)</f>
        <v>26653852.129999999</v>
      </c>
      <c r="AO237" s="77">
        <v>9.4861836854202422E-2</v>
      </c>
      <c r="AP237" s="102">
        <v>30650430.110000037</v>
      </c>
    </row>
    <row r="238" spans="1:43">
      <c r="A238" s="123" t="s">
        <v>292</v>
      </c>
      <c r="B238" s="1" t="s">
        <v>212</v>
      </c>
      <c r="E238" s="77">
        <f t="shared" si="75"/>
        <v>3.387327919315597E-2</v>
      </c>
      <c r="F238" s="113">
        <v>3352536.6999999997</v>
      </c>
      <c r="G238" s="121"/>
      <c r="I238" s="77">
        <v>3.3468314915183657E-2</v>
      </c>
      <c r="J238" s="113">
        <v>4097027.5699999994</v>
      </c>
      <c r="K238" s="121"/>
      <c r="M238" s="77">
        <f t="shared" si="80"/>
        <v>3.4790174985959807E-2</v>
      </c>
      <c r="N238" s="113">
        <v>4781930.7700000005</v>
      </c>
      <c r="O238" s="121"/>
      <c r="Q238" s="77">
        <v>3.8265587553740751E-2</v>
      </c>
      <c r="R238" s="113">
        <v>5908930.7299999986</v>
      </c>
      <c r="S238" s="121"/>
      <c r="U238" s="77">
        <f t="shared" si="76"/>
        <v>3.7735452277743484E-2</v>
      </c>
      <c r="V238" s="113">
        <f>IFERROR(VLOOKUP($A238,[28]Yield!$A$4:$B$13,2,FALSE),0)</f>
        <v>6959890.3399999989</v>
      </c>
      <c r="W238" s="121"/>
      <c r="Y238" s="77">
        <f t="shared" si="77"/>
        <v>3.7566361884624554E-2</v>
      </c>
      <c r="Z238" s="113">
        <f>IFERROR(VLOOKUP($A238,[29]Yield!$A$4:$B$13,2,FALSE),0)</f>
        <v>8003378.5899999971</v>
      </c>
      <c r="AA238" s="121"/>
      <c r="AC238" s="77">
        <f t="shared" si="78"/>
        <v>3.7480405672858638E-2</v>
      </c>
      <c r="AD238" s="113">
        <f>IFERROR(VLOOKUP($B238,'[37](911__CONTRACT_YIELD'!$A$2:$D$10,4,FALSE),0)</f>
        <v>8733827.3800000008</v>
      </c>
      <c r="AE238" s="121"/>
      <c r="AG238" s="77">
        <f t="shared" si="79"/>
        <v>3.7362530366075522E-2</v>
      </c>
      <c r="AH238" s="113">
        <f>IFERROR(VLOOKUP($B238,'[38](911__CONTRACT_YIELD'!$A$1:$D$10,4,FALSE),0)</f>
        <v>9467233.4299999997</v>
      </c>
      <c r="AI238" s="121"/>
      <c r="AJ238" s="129"/>
      <c r="AK238" s="77">
        <f t="shared" si="81"/>
        <v>3.7681059414184565E-2</v>
      </c>
      <c r="AL238" s="102">
        <f>VLOOKUP(B238,'[39](911__CONTRACT_YIELD'!$A$2:$D$10,4,0)</f>
        <v>10907957.050000001</v>
      </c>
      <c r="AM238" s="121"/>
      <c r="AO238" s="77">
        <v>3.7542128049635221E-2</v>
      </c>
      <c r="AP238" s="102">
        <v>12130087.399999999</v>
      </c>
      <c r="AQ238" s="121"/>
    </row>
    <row r="239" spans="1:43">
      <c r="A239" s="123" t="s">
        <v>293</v>
      </c>
      <c r="B239" s="1" t="s">
        <v>213</v>
      </c>
      <c r="E239" s="77">
        <f t="shared" si="75"/>
        <v>2.2943998332498702E-2</v>
      </c>
      <c r="F239" s="113">
        <v>2270834.0700000003</v>
      </c>
      <c r="G239" s="121"/>
      <c r="I239" s="77">
        <v>2.203160935139804E-2</v>
      </c>
      <c r="J239" s="113">
        <v>2697001.9600000004</v>
      </c>
      <c r="K239" s="121"/>
      <c r="M239" s="77">
        <f t="shared" si="80"/>
        <v>2.6487043549050623E-2</v>
      </c>
      <c r="N239" s="113">
        <v>3640660.29</v>
      </c>
      <c r="O239" s="121"/>
      <c r="Q239" s="77">
        <v>2.6363262102504777E-2</v>
      </c>
      <c r="R239" s="113">
        <v>4070986.4799999995</v>
      </c>
      <c r="S239" s="121"/>
      <c r="U239" s="77">
        <f t="shared" si="76"/>
        <v>2.7377024099011361E-2</v>
      </c>
      <c r="V239" s="113">
        <f>IFERROR(VLOOKUP($A239,[28]Yield!$A$4:$B$13,2,FALSE),0)</f>
        <v>5049391.8599999985</v>
      </c>
      <c r="W239" s="121"/>
      <c r="Y239" s="77">
        <f t="shared" si="77"/>
        <v>2.553660225245127E-2</v>
      </c>
      <c r="Z239" s="113">
        <f>IFERROR(VLOOKUP($A239,[29]Yield!$A$4:$B$13,2,FALSE),0)</f>
        <v>5440481.4700000016</v>
      </c>
      <c r="AA239" s="121"/>
      <c r="AC239" s="77">
        <f t="shared" si="78"/>
        <v>2.4919218945777998E-2</v>
      </c>
      <c r="AD239" s="113">
        <f>IFERROR(VLOOKUP($B239,'[37](911__CONTRACT_YIELD'!$A$2:$D$10,4,FALSE),0)</f>
        <v>5806771.6399999997</v>
      </c>
      <c r="AE239" s="121"/>
      <c r="AG239" s="77">
        <f t="shared" si="79"/>
        <v>2.5773251570697486E-2</v>
      </c>
      <c r="AH239" s="113">
        <f>IFERROR(VLOOKUP($B239,'[38](911__CONTRACT_YIELD'!$A$1:$D$10,4,FALSE),0)</f>
        <v>6530644.1100000003</v>
      </c>
      <c r="AI239" s="121"/>
      <c r="AJ239" s="129"/>
      <c r="AK239" s="77">
        <f t="shared" si="81"/>
        <v>2.4847065411988493E-2</v>
      </c>
      <c r="AL239" s="102">
        <f>VLOOKUP(B239,'[39](911__CONTRACT_YIELD'!$A$2:$D$10,4,0)</f>
        <v>7192757.4900000002</v>
      </c>
      <c r="AM239" s="121"/>
      <c r="AO239" s="77">
        <v>2.3595167465147455E-2</v>
      </c>
      <c r="AP239" s="102">
        <v>7623740.5399999982</v>
      </c>
      <c r="AQ239" s="121"/>
    </row>
    <row r="240" spans="1:43" ht="13.5" thickBot="1">
      <c r="A240" s="123" t="s">
        <v>214</v>
      </c>
      <c r="B240" s="1" t="s">
        <v>214</v>
      </c>
      <c r="E240" s="77">
        <f t="shared" si="75"/>
        <v>2.4441302229444722E-2</v>
      </c>
      <c r="F240" s="113">
        <v>2419026.58</v>
      </c>
      <c r="G240" s="121"/>
      <c r="I240" s="77">
        <v>2.4489902950302806E-2</v>
      </c>
      <c r="J240" s="113">
        <v>2997934.2499999995</v>
      </c>
      <c r="K240" s="121"/>
      <c r="M240" s="77">
        <f t="shared" si="80"/>
        <v>2.5403589571515124E-2</v>
      </c>
      <c r="N240" s="113">
        <v>3491738.8799999994</v>
      </c>
      <c r="O240" s="121"/>
      <c r="Q240" s="77">
        <v>2.6988992482965862E-2</v>
      </c>
      <c r="R240" s="113">
        <v>4167611.0900000003</v>
      </c>
      <c r="S240" s="121"/>
      <c r="U240" s="77">
        <f t="shared" si="76"/>
        <v>2.5088862193132222E-2</v>
      </c>
      <c r="V240" s="113">
        <f>IFERROR(VLOOKUP($A240,[28]Yield!$A$4:$B$13,2,FALSE),0)</f>
        <v>4627365.4900000012</v>
      </c>
      <c r="W240" s="121"/>
      <c r="Y240" s="77">
        <f t="shared" si="77"/>
        <v>2.4756177936059387E-2</v>
      </c>
      <c r="Z240" s="113">
        <f>IFERROR(VLOOKUP($A240,[29]Yield!$A$4:$B$13,2,FALSE),0)</f>
        <v>5274214.8699999992</v>
      </c>
      <c r="AA240" s="121"/>
      <c r="AC240" s="77">
        <f t="shared" si="78"/>
        <v>2.439470244376989E-2</v>
      </c>
      <c r="AD240" s="113">
        <f>IFERROR(VLOOKUP($B240,'[37](911__CONTRACT_YIELD'!$A$2:$D$10,4,FALSE),0)</f>
        <v>5684546.7999999998</v>
      </c>
      <c r="AE240" s="121"/>
      <c r="AG240" s="77">
        <f t="shared" si="79"/>
        <v>2.4634268689132023E-2</v>
      </c>
      <c r="AH240" s="113">
        <f>IFERROR(VLOOKUP($B240,'[38](911__CONTRACT_YIELD'!$A$1:$D$10,4,FALSE),0)</f>
        <v>6242039.0099999998</v>
      </c>
      <c r="AI240" s="121"/>
      <c r="AJ240" s="129"/>
      <c r="AK240" s="77">
        <f t="shared" si="81"/>
        <v>2.3288965226062934E-2</v>
      </c>
      <c r="AL240" s="102">
        <f>VLOOKUP(B240,'[39](911__CONTRACT_YIELD'!$A$2:$D$10,4,0)</f>
        <v>6741716.8300000001</v>
      </c>
      <c r="AM240" s="121"/>
      <c r="AO240" s="77">
        <v>2.219650365636508E-2</v>
      </c>
      <c r="AP240" s="102">
        <v>7171823.8500000024</v>
      </c>
      <c r="AQ240" s="121"/>
    </row>
    <row r="241" spans="1:42" ht="13.5" thickBot="1">
      <c r="A241" s="106"/>
      <c r="E241" s="78">
        <f>SUM(E231:E240)</f>
        <v>1</v>
      </c>
      <c r="F241" s="120">
        <f>SUM(F231:F240)</f>
        <v>98972900.760000035</v>
      </c>
      <c r="I241" s="78">
        <v>1.0000000000000002</v>
      </c>
      <c r="J241" s="120">
        <v>122415113.52999999</v>
      </c>
      <c r="M241" s="78">
        <f>SUM(M231:M240)</f>
        <v>0.99999999999999978</v>
      </c>
      <c r="N241" s="120">
        <f>SUM(N231:N240)</f>
        <v>137450609.89000008</v>
      </c>
      <c r="Q241" s="78">
        <v>0.99999999999999989</v>
      </c>
      <c r="R241" s="120">
        <v>154418920.69999996</v>
      </c>
      <c r="U241" s="78">
        <f>SUM(U231:U240)</f>
        <v>1</v>
      </c>
      <c r="V241" s="120">
        <f>SUM(V231:V240)</f>
        <v>184439033.31999996</v>
      </c>
      <c r="Y241" s="78">
        <f>SUM(Y231:Y240)</f>
        <v>0.99999999999999978</v>
      </c>
      <c r="Z241" s="120">
        <f>SUM(Z231:Z240)</f>
        <v>213046411.43000013</v>
      </c>
      <c r="AC241" s="78">
        <f>SUM(AC231:AC240)</f>
        <v>0.99999999999999989</v>
      </c>
      <c r="AD241" s="120">
        <f>SUM(AD231:AD240)</f>
        <v>233023822</v>
      </c>
      <c r="AG241" s="78">
        <f>SUM(AG231:AG240)</f>
        <v>0.99999999999999989</v>
      </c>
      <c r="AH241" s="120">
        <f>SUM(AH231:AH240)</f>
        <v>253388443.91000003</v>
      </c>
      <c r="AK241" s="78">
        <f>SUM(AK231:AK240)</f>
        <v>0.99999999999999989</v>
      </c>
      <c r="AL241" s="120">
        <f>SUM(AL231:AL240)</f>
        <v>289481166.92000002</v>
      </c>
      <c r="AO241" s="78">
        <v>0.99999999999999989</v>
      </c>
      <c r="AP241" s="120">
        <v>323106015.30000007</v>
      </c>
    </row>
    <row r="242" spans="1:42" ht="13.5" thickBot="1">
      <c r="A242" s="106"/>
      <c r="E242" s="77"/>
      <c r="I242" s="77"/>
      <c r="M242" s="77"/>
      <c r="Q242" s="77"/>
      <c r="U242" s="77"/>
      <c r="Y242" s="77"/>
      <c r="AC242" s="77"/>
      <c r="AG242" s="77"/>
      <c r="AK242" s="77"/>
      <c r="AO242" s="77"/>
    </row>
    <row r="243" spans="1:42" ht="13.5" thickBot="1">
      <c r="A243" s="106"/>
      <c r="B243" s="70" t="s">
        <v>215</v>
      </c>
      <c r="E243" s="78">
        <f>F243/E19</f>
        <v>2.4841304045052821E-2</v>
      </c>
      <c r="F243" s="120">
        <f>'[34]obligor top 5'!$E$7</f>
        <v>2458615.9200000004</v>
      </c>
      <c r="I243" s="78">
        <v>2.1940223985021219E-2</v>
      </c>
      <c r="J243" s="120">
        <v>2685815.01</v>
      </c>
      <c r="M243" s="78">
        <v>1.6568594361440411E-2</v>
      </c>
      <c r="N243" s="120">
        <v>2277363.4</v>
      </c>
      <c r="Q243" s="78">
        <v>1.8699471327155836E-2</v>
      </c>
      <c r="R243" s="120">
        <v>2887552.1799999997</v>
      </c>
      <c r="U243" s="78">
        <f>V243/U19</f>
        <v>1.900652308636203E-2</v>
      </c>
      <c r="V243" s="120">
        <f>SUM([35]Obligor!$D$2:$D$6)</f>
        <v>3512461.44</v>
      </c>
      <c r="Y243" s="78">
        <f>Z243/Y19</f>
        <v>1.9452948250018889E-2</v>
      </c>
      <c r="Z243" s="120">
        <f>[29]Obligor!$C$8</f>
        <v>4153526.13</v>
      </c>
      <c r="AC243" s="78">
        <f>AD243/AC19</f>
        <v>1.7991338628030887E-2</v>
      </c>
      <c r="AD243" s="120">
        <f>SUM('[37](909__OBLIGOR_EXPOSURE'!$E$2:$E$6)</f>
        <v>4192410.4899999998</v>
      </c>
      <c r="AG243" s="78">
        <f>AH243/AG19</f>
        <v>1.8115709497905991E-2</v>
      </c>
      <c r="AH243" s="120">
        <f>SUM('[38](909__OBLIGOR_EXPOSURE'!$E$2:$E$6)</f>
        <v>4590311.4400000004</v>
      </c>
      <c r="AK243" s="78">
        <f>AL243/AK19</f>
        <v>2.0302748163317369E-2</v>
      </c>
      <c r="AL243" s="120">
        <f>SUM('[39](909__OBLIGOR_EXPOSURE'!$E$2:$E$6)</f>
        <v>5877263.2299999995</v>
      </c>
      <c r="AO243" s="78">
        <v>1.9467345490797486E-2</v>
      </c>
      <c r="AP243" s="120">
        <v>6290016.4299999997</v>
      </c>
    </row>
    <row r="244" spans="1:42">
      <c r="A244" s="106"/>
    </row>
    <row r="245" spans="1:42">
      <c r="A245" s="106"/>
      <c r="E245" s="1" t="s">
        <v>294</v>
      </c>
      <c r="F245" s="139">
        <f>(SUM(E$9:$AO$9)-SUM(E$23:$AO$23))/$AO$6</f>
        <v>9.161978951274163E-3</v>
      </c>
      <c r="I245" s="1" t="s">
        <v>294</v>
      </c>
      <c r="J245" s="139">
        <v>1.3287023882489908E-2</v>
      </c>
      <c r="M245" s="1" t="s">
        <v>294</v>
      </c>
      <c r="N245" s="139">
        <v>1.1302280555065792E-2</v>
      </c>
      <c r="Q245" s="1" t="s">
        <v>294</v>
      </c>
      <c r="R245" s="139">
        <v>8.3099758277826227E-3</v>
      </c>
    </row>
    <row r="246" spans="1:42">
      <c r="A246" s="106"/>
      <c r="E246" s="1" t="s">
        <v>295</v>
      </c>
      <c r="F246" s="140">
        <f>(AVERAGE(SUM(J46:J49),SUM(N46:N49)))/(AVERAGE(J50,N50))</f>
        <v>8.587824206400297E-3</v>
      </c>
      <c r="I246" s="1" t="s">
        <v>295</v>
      </c>
      <c r="J246" s="140">
        <v>2.0683501863989484E-2</v>
      </c>
      <c r="M246" s="1" t="s">
        <v>295</v>
      </c>
      <c r="N246" s="140">
        <v>1.4498333326143689E-2</v>
      </c>
      <c r="Q246" s="1" t="s">
        <v>295</v>
      </c>
      <c r="R246" s="140">
        <v>2.1007612970826307E-3</v>
      </c>
    </row>
    <row r="247" spans="1:42">
      <c r="A247" s="106"/>
    </row>
    <row r="248" spans="1:42">
      <c r="A248" s="106"/>
    </row>
    <row r="249" spans="1:42">
      <c r="A249" s="106"/>
    </row>
    <row r="250" spans="1:42">
      <c r="A250" s="106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in="1" max="14" man="1"/>
    <brk id="70" min="1" max="14" man="1"/>
    <brk id="108" min="1" max="14" man="1"/>
    <brk id="167" min="1" max="14" man="1"/>
    <brk id="215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0"/>
  <sheetViews>
    <sheetView workbookViewId="0">
      <selection activeCell="D45" sqref="D45"/>
    </sheetView>
  </sheetViews>
  <sheetFormatPr defaultRowHeight="12.75"/>
  <cols>
    <col min="1" max="1" width="2.7109375" bestFit="1" customWidth="1"/>
    <col min="3" max="3" width="57.28515625" bestFit="1" customWidth="1"/>
    <col min="4" max="4" width="18.28515625" customWidth="1"/>
    <col min="5" max="5" width="22.28515625" customWidth="1"/>
    <col min="6" max="6" width="19.5703125" customWidth="1"/>
    <col min="7" max="7" width="22.140625" customWidth="1"/>
    <col min="8" max="8" width="21.140625" customWidth="1"/>
  </cols>
  <sheetData>
    <row r="1" spans="1:8" ht="13.5" thickBot="1">
      <c r="A1" s="10"/>
      <c r="B1" s="11"/>
      <c r="C1" s="4" t="s">
        <v>1</v>
      </c>
      <c r="D1" s="43"/>
      <c r="E1" s="104"/>
      <c r="F1" s="104">
        <v>0.5904356920777124</v>
      </c>
      <c r="G1" s="104">
        <v>9.7322211783513871E-2</v>
      </c>
      <c r="H1" s="104">
        <v>0.31224209613877368</v>
      </c>
    </row>
    <row r="2" spans="1:8">
      <c r="A2" s="12"/>
      <c r="B2" s="13"/>
      <c r="C2" s="2"/>
      <c r="D2" s="31" t="s">
        <v>14</v>
      </c>
      <c r="E2" s="30" t="s">
        <v>160</v>
      </c>
      <c r="F2" s="35" t="s">
        <v>159</v>
      </c>
      <c r="G2" s="29" t="s">
        <v>120</v>
      </c>
      <c r="H2" s="29" t="s">
        <v>121</v>
      </c>
    </row>
    <row r="3" spans="1:8">
      <c r="A3" s="12"/>
      <c r="B3" s="13"/>
      <c r="C3" s="6" t="s">
        <v>122</v>
      </c>
      <c r="D3" s="15">
        <v>350000000</v>
      </c>
      <c r="E3" s="15">
        <v>71500000</v>
      </c>
      <c r="F3" s="36">
        <v>228000000</v>
      </c>
      <c r="G3" s="15">
        <v>12000000</v>
      </c>
      <c r="H3" s="15">
        <v>38500000</v>
      </c>
    </row>
    <row r="4" spans="1:8">
      <c r="A4" s="13" t="s">
        <v>15</v>
      </c>
      <c r="B4" s="13"/>
      <c r="C4" s="6" t="s">
        <v>316</v>
      </c>
      <c r="D4" s="15">
        <v>123301760</v>
      </c>
      <c r="E4" s="15">
        <v>0</v>
      </c>
      <c r="F4" s="15">
        <v>72801760</v>
      </c>
      <c r="G4" s="15">
        <v>12000000</v>
      </c>
      <c r="H4" s="15">
        <v>38500000</v>
      </c>
    </row>
    <row r="5" spans="1:8">
      <c r="A5" s="13" t="s">
        <v>16</v>
      </c>
      <c r="B5" s="13"/>
      <c r="C5" s="6" t="s">
        <v>317</v>
      </c>
      <c r="D5" s="15">
        <v>122415113.92753425</v>
      </c>
      <c r="E5" s="15">
        <v>0</v>
      </c>
      <c r="F5" s="15">
        <v>72801760</v>
      </c>
      <c r="G5" s="15">
        <v>12000000</v>
      </c>
      <c r="H5" s="15">
        <v>37613353.927534245</v>
      </c>
    </row>
    <row r="6" spans="1:8">
      <c r="A6" s="14" t="s">
        <v>17</v>
      </c>
      <c r="B6" s="14"/>
      <c r="C6" s="6" t="s">
        <v>2</v>
      </c>
      <c r="D6" s="15">
        <v>24328858.84</v>
      </c>
      <c r="E6" s="15">
        <v>0</v>
      </c>
      <c r="F6" s="16">
        <v>14364626.609999999</v>
      </c>
      <c r="G6" s="15">
        <v>2367738.35</v>
      </c>
      <c r="H6" s="15">
        <v>7596493.8799999999</v>
      </c>
    </row>
    <row r="7" spans="1:8">
      <c r="A7" s="25"/>
      <c r="B7" s="20"/>
      <c r="C7" s="47" t="s">
        <v>6</v>
      </c>
      <c r="D7" s="44">
        <v>886646.07246575365</v>
      </c>
      <c r="E7" s="44">
        <v>0</v>
      </c>
      <c r="F7" s="45">
        <v>0</v>
      </c>
      <c r="G7" s="44">
        <v>0</v>
      </c>
      <c r="H7" s="44">
        <v>886646.07246575365</v>
      </c>
    </row>
    <row r="8" spans="1:8" ht="13.5" thickBot="1">
      <c r="A8" s="23"/>
      <c r="B8" s="24"/>
      <c r="C8" s="28" t="s">
        <v>7</v>
      </c>
      <c r="D8" s="46">
        <v>0</v>
      </c>
      <c r="E8" s="46">
        <v>0</v>
      </c>
      <c r="F8" s="37">
        <v>0</v>
      </c>
      <c r="G8" s="46">
        <v>0</v>
      </c>
      <c r="H8" s="46">
        <v>0</v>
      </c>
    </row>
    <row r="9" spans="1:8">
      <c r="A9" s="42" t="s">
        <v>18</v>
      </c>
      <c r="B9" s="42"/>
      <c r="C9" s="7" t="s">
        <v>4</v>
      </c>
      <c r="D9" s="15">
        <v>131812.85</v>
      </c>
      <c r="E9" s="100">
        <v>0</v>
      </c>
      <c r="F9" s="100">
        <v>0</v>
      </c>
      <c r="G9" s="100">
        <v>0</v>
      </c>
      <c r="H9" s="110">
        <v>131812.85</v>
      </c>
    </row>
    <row r="10" spans="1:8">
      <c r="A10" s="42" t="s">
        <v>19</v>
      </c>
      <c r="B10" s="42"/>
      <c r="C10" s="7" t="s">
        <v>9</v>
      </c>
      <c r="D10" s="15">
        <v>131812.85</v>
      </c>
      <c r="E10" s="100">
        <v>0</v>
      </c>
      <c r="F10" s="100">
        <v>0</v>
      </c>
      <c r="G10" s="100">
        <v>0</v>
      </c>
      <c r="H10" s="101">
        <v>131812.85</v>
      </c>
    </row>
    <row r="11" spans="1:8">
      <c r="A11" s="12"/>
      <c r="B11" s="13"/>
      <c r="C11" s="6" t="s">
        <v>11</v>
      </c>
      <c r="D11" s="15">
        <v>886646.07246575365</v>
      </c>
      <c r="E11" s="15">
        <v>0</v>
      </c>
      <c r="F11" s="36">
        <v>0</v>
      </c>
      <c r="G11" s="15">
        <v>0</v>
      </c>
      <c r="H11" s="15">
        <v>886646.07246575365</v>
      </c>
    </row>
    <row r="12" spans="1:8" ht="13.5" thickBot="1">
      <c r="A12" s="12"/>
      <c r="B12" s="13"/>
      <c r="C12" s="6" t="s">
        <v>10</v>
      </c>
      <c r="D12" s="15">
        <v>886646.07246575365</v>
      </c>
      <c r="E12" s="46">
        <v>0</v>
      </c>
      <c r="F12" s="37">
        <v>0</v>
      </c>
      <c r="G12" s="46">
        <v>0</v>
      </c>
      <c r="H12" s="46">
        <v>886646.07246575365</v>
      </c>
    </row>
    <row r="13" spans="1:8" ht="13.5" thickBot="1">
      <c r="A13" s="21"/>
      <c r="B13" s="22"/>
      <c r="C13" s="33" t="s">
        <v>8</v>
      </c>
      <c r="D13" s="17">
        <v>0</v>
      </c>
      <c r="E13" s="17">
        <v>0</v>
      </c>
      <c r="F13" s="38">
        <v>0</v>
      </c>
      <c r="G13" s="17">
        <v>0</v>
      </c>
      <c r="H13" s="17">
        <v>0</v>
      </c>
    </row>
    <row r="14" spans="1:8">
      <c r="A14" s="156"/>
      <c r="B14" s="157"/>
      <c r="C14" s="158" t="s">
        <v>318</v>
      </c>
      <c r="D14" s="15">
        <v>98972901.160000011</v>
      </c>
      <c r="E14" s="36">
        <v>0</v>
      </c>
      <c r="F14" s="41">
        <v>58437133.390000001</v>
      </c>
      <c r="G14" s="95">
        <v>9632261.6500000004</v>
      </c>
      <c r="H14" s="95">
        <v>30903506.120000001</v>
      </c>
    </row>
    <row r="15" spans="1:8">
      <c r="A15" s="159"/>
      <c r="B15" s="19"/>
      <c r="C15" s="160" t="s">
        <v>319</v>
      </c>
      <c r="D15" s="15">
        <v>98972901.160000011</v>
      </c>
      <c r="E15" s="36">
        <v>0</v>
      </c>
      <c r="F15" s="36">
        <v>58437133.390000001</v>
      </c>
      <c r="G15" s="101">
        <v>9632261.6500000004</v>
      </c>
      <c r="H15" s="101">
        <v>30903506.120000001</v>
      </c>
    </row>
    <row r="16" spans="1:8">
      <c r="A16" s="161"/>
      <c r="B16" s="34"/>
      <c r="C16" s="160" t="s">
        <v>320</v>
      </c>
      <c r="D16" s="15"/>
      <c r="E16" s="39">
        <v>0</v>
      </c>
      <c r="F16" s="39">
        <v>0.25630321662280703</v>
      </c>
      <c r="G16" s="96">
        <v>0.80268847083333339</v>
      </c>
      <c r="H16" s="96">
        <v>0.80268847064935067</v>
      </c>
    </row>
    <row r="17" spans="1:8">
      <c r="A17" s="161"/>
      <c r="B17" s="34"/>
      <c r="C17" s="160" t="s">
        <v>12</v>
      </c>
      <c r="D17" s="32"/>
      <c r="E17" s="98">
        <v>6.0000000000000001E-3</v>
      </c>
      <c r="F17" s="98">
        <v>1.6E-2</v>
      </c>
      <c r="G17" s="93">
        <v>2.1999999999999999E-2</v>
      </c>
      <c r="H17" s="93">
        <v>0.01</v>
      </c>
    </row>
    <row r="18" spans="1:8">
      <c r="A18" s="162"/>
      <c r="B18" s="19"/>
      <c r="C18" s="94" t="s">
        <v>0</v>
      </c>
      <c r="D18" s="9"/>
      <c r="E18" s="99">
        <v>3.1883000000000002E-2</v>
      </c>
      <c r="F18" s="99">
        <v>4.1883000000000004E-2</v>
      </c>
      <c r="G18" s="86">
        <v>4.7882999999999995E-2</v>
      </c>
      <c r="H18" s="86">
        <v>3.5882999999999998E-2</v>
      </c>
    </row>
    <row r="19" spans="1:8">
      <c r="A19" s="162"/>
      <c r="B19" s="19"/>
      <c r="C19" s="160" t="s">
        <v>3</v>
      </c>
      <c r="D19" s="15"/>
      <c r="E19" s="40">
        <v>91</v>
      </c>
      <c r="F19" s="40">
        <v>91</v>
      </c>
      <c r="G19" s="97">
        <v>91</v>
      </c>
      <c r="H19" s="97">
        <v>91</v>
      </c>
    </row>
    <row r="20" spans="1:8" ht="13.5" thickBot="1">
      <c r="A20" s="163"/>
      <c r="B20" s="24"/>
      <c r="C20" s="164" t="s">
        <v>321</v>
      </c>
      <c r="D20" s="46"/>
      <c r="E20" s="37">
        <v>0</v>
      </c>
      <c r="F20" s="37">
        <v>760200.57</v>
      </c>
      <c r="G20" s="46">
        <v>143255.44</v>
      </c>
      <c r="H20" s="46">
        <v>336495.56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D15ED4FA2F2479FE7D2A0B7FEA00C" ma:contentTypeVersion="1" ma:contentTypeDescription="Create a new document." ma:contentTypeScope="" ma:versionID="a877a7a77113ed9cf34108373da63be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6f9746fe128b0ca74698fd9d7c13d39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D235E0-180C-41A7-8C84-88E97C173F98}"/>
</file>

<file path=customXml/itemProps2.xml><?xml version="1.0" encoding="utf-8"?>
<ds:datastoreItem xmlns:ds="http://schemas.openxmlformats.org/officeDocument/2006/customXml" ds:itemID="{3CA33C8B-B66F-446C-9421-8ADFE5C23142}"/>
</file>

<file path=customXml/itemProps3.xml><?xml version="1.0" encoding="utf-8"?>
<ds:datastoreItem xmlns:ds="http://schemas.openxmlformats.org/officeDocument/2006/customXml" ds:itemID="{FA110FA1-8F7A-4A13-A5CB-71962F9D68B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Cumulative Defaults</vt:lpstr>
      <vt:lpstr>Collateral Tables</vt:lpstr>
      <vt:lpstr>Note Balances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jxa</dc:creator>
  <cp:lastModifiedBy>Nicole/f90992a</cp:lastModifiedBy>
  <cp:lastPrinted>2013-12-11T05:49:35Z</cp:lastPrinted>
  <dcterms:created xsi:type="dcterms:W3CDTF">2002-07-29T05:07:38Z</dcterms:created>
  <dcterms:modified xsi:type="dcterms:W3CDTF">2014-03-17T23:30:13Z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0x01010035DD15ED4FA2F2479FE7D2A0B7FEA00C</vt:lpwstr>
  </property>
</Properties>
</file>